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drawings/drawing2.xml" ContentType="application/vnd.openxmlformats-officedocument.drawing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imelines/timeline2.xml" ContentType="application/vnd.ms-excel.timelin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Moje\Free template\"/>
    </mc:Choice>
  </mc:AlternateContent>
  <xr:revisionPtr revIDLastSave="0" documentId="13_ncr:1_{8FA0E9E7-D8C1-4EEA-A79F-781B0839B2B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KPI_Monthly" sheetId="10" r:id="rId1"/>
    <sheet name="Pivot" sheetId="12" state="veryHidden" r:id="rId2"/>
    <sheet name="Dashboard" sheetId="13" r:id="rId3"/>
  </sheets>
  <definedNames>
    <definedName name="NativeTimeline_Date">#N/A</definedName>
  </definedNames>
  <calcPr calcId="191029"/>
  <pivotCaches>
    <pivotCache cacheId="0" r:id="rId4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5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2" l="1"/>
  <c r="K2" i="12"/>
  <c r="H2" i="12"/>
  <c r="E2" i="12"/>
  <c r="AF2" i="12"/>
  <c r="AC2" i="12"/>
  <c r="Z2" i="12"/>
  <c r="W2" i="12"/>
  <c r="T2" i="12"/>
  <c r="Q2" i="12"/>
  <c r="N2" i="12"/>
</calcChain>
</file>

<file path=xl/sharedStrings.xml><?xml version="1.0" encoding="utf-8"?>
<sst xmlns="http://schemas.openxmlformats.org/spreadsheetml/2006/main" count="82" uniqueCount="64">
  <si>
    <t>Date</t>
  </si>
  <si>
    <t>MonthName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</si>
  <si>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</si>
  <si>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</si>
  <si>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</si>
  <si>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</si>
  <si>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</si>
  <si>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</si>
  <si>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</si>
  <si>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</si>
  <si>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</si>
  <si>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</si>
  <si>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</si>
  <si>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</si>
  <si>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Income</t>
  </si>
  <si>
    <t>COGS</t>
  </si>
  <si>
    <t>Gross Profit</t>
  </si>
  <si>
    <t>Total Operating Expenses</t>
  </si>
  <si>
    <t>Operating Profit (EBIT)</t>
  </si>
  <si>
    <t>Taxes</t>
  </si>
  <si>
    <t>Net Profit</t>
  </si>
  <si>
    <t>Net Profit Margin %</t>
  </si>
  <si>
    <t>% of Income Budget</t>
  </si>
  <si>
    <t>% of Expenses Budget</t>
  </si>
  <si>
    <t>Accounts Receivable</t>
  </si>
  <si>
    <t>Accounts Payable</t>
  </si>
  <si>
    <t>Cash at EOM</t>
  </si>
  <si>
    <t>Quick Ratio</t>
  </si>
  <si>
    <t>Current Ratio</t>
  </si>
  <si>
    <t>Income MoM %</t>
  </si>
  <si>
    <t>Expenses MoM %</t>
  </si>
  <si>
    <t>Net Profit MoM %</t>
  </si>
  <si>
    <t>Cash MoM %</t>
  </si>
  <si>
    <t>AR MoM %</t>
  </si>
  <si>
    <t>AP MoM %</t>
  </si>
  <si>
    <t>Quick Ratio MoM %</t>
  </si>
  <si>
    <t>Current Ratio MoM %</t>
  </si>
  <si>
    <t>Grand Total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</si>
  <si>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</si>
  <si>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</si>
  <si>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</si>
  <si>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</si>
  <si>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</si>
  <si>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</si>
  <si>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</si>
  <si>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</si>
  <si>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</si>
  <si>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</si>
  <si>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</si>
  <si>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</si>
  <si>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Sum of Income</t>
  </si>
  <si>
    <t>Sum of COGS</t>
  </si>
  <si>
    <t>Row Labels</t>
  </si>
  <si>
    <t>&lt;1.1.2025</t>
  </si>
  <si>
    <t>Sum of Gross Profit</t>
  </si>
  <si>
    <t>Sum of Taxes</t>
  </si>
  <si>
    <t>Sum of Total Operating Expenses</t>
  </si>
  <si>
    <t>Sum of Operating Profit (EBIT)</t>
  </si>
  <si>
    <t>Sum of Net Profit</t>
  </si>
  <si>
    <t>Sum of Cash at EOM</t>
  </si>
  <si>
    <t>Sum of Accounts Receivable</t>
  </si>
  <si>
    <t>Sum of Accounts Payable</t>
  </si>
  <si>
    <t>Average of Net Profit Margin %</t>
  </si>
  <si>
    <t>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</si>
</sst>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4" fontId="0" fillId="0" borderId="0" xfId="0" applyNumberFormat="1"/>
    <xf numFmtId="0" fontId="0" fillId="0" borderId="0" xfId="0" pivotButton="1"/>
    <xf numFmtId="14" fontId="0" fillId="0" borderId="0" xfId="0" applyNumberFormat="1"/>
    <xf numFmtId="3" fontId="0" fillId="0" borderId="0" xfId="0" applyNumberFormat="1"/>
    <xf numFmtId="0" fontId="2" fillId="0" borderId="1" xfId="0" applyFont="1" applyBorder="1"/>
    <xf numFmtId="0" fontId="0" fillId="2" borderId="0" xfId="0" applyFill="1"/>
    <xf numFmtId="0" fontId="0" fillId="0" borderId="0" xfId="0" applyAlignment="1">
      <alignment horizontal="left"/>
    </xf>
    <xf numFmtId="9" fontId="0" fillId="0" borderId="0" xfId="1" applyFont="1"/>
    <xf numFmtId="9" fontId="0" fillId="0" borderId="0" xfId="0" applyNumberFormat="1"/>
    <xf numFmtId="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11/relationships/timelineCache" Target="timelineCaches/timelineCach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[5.ZBI_Finance_Dashboard.xlsx]Pivot!PivotTable12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Pivot!$B$31</c:f>
              <c:strCache>
                <c:ptCount val="1"/>
                <c:pt idx="0">
                  <c:v>Sum of 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Pivot!$A$32:$A$44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Pivot!$B$32:$B$44</c:f>
              <c:numCache>
                <c:formatCode>General</c:formatCode>
                <c:ptCount val="12"/>
                <c:pt idx="0">
                  <c:v>189871</c:v>
                </c:pt>
                <c:pt idx="1">
                  <c:v>194090</c:v>
                </c:pt>
                <c:pt idx="2">
                  <c:v>206748</c:v>
                </c:pt>
                <c:pt idx="3">
                  <c:v>210968</c:v>
                </c:pt>
                <c:pt idx="4">
                  <c:v>217297</c:v>
                </c:pt>
                <c:pt idx="5">
                  <c:v>221516</c:v>
                </c:pt>
                <c:pt idx="6">
                  <c:v>204639</c:v>
                </c:pt>
                <c:pt idx="7">
                  <c:v>194090</c:v>
                </c:pt>
                <c:pt idx="8">
                  <c:v>215187</c:v>
                </c:pt>
                <c:pt idx="9">
                  <c:v>227845</c:v>
                </c:pt>
                <c:pt idx="10">
                  <c:v>236284</c:v>
                </c:pt>
                <c:pt idx="11">
                  <c:v>253161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6-45C0-A41F-B7353E37AF82}"/>
            </c:ext>
          </c:extLst>
        </c:ser>
        <c:ser>
          <c:idx val="1"/>
          <c:order val="1"/>
          <c:tx>
            <c:strRef>
              <c:f>Pivot!$C$31</c:f>
              <c:strCache>
                <c:ptCount val="1"/>
                <c:pt idx="0">
                  <c:v>Sum of Gross Profit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Pivot!$A$32:$A$44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Pivot!$C$32:$C$44</c:f>
              <c:numCache>
                <c:formatCode>General</c:formatCode>
                <c:ptCount val="12"/>
                <c:pt idx="0">
                  <c:v>98232.84</c:v>
                </c:pt>
                <c:pt idx="1">
                  <c:v>96079.21</c:v>
                </c:pt>
                <c:pt idx="2">
                  <c:v>93096.320000000007</c:v>
                </c:pt>
                <c:pt idx="3">
                  <c:v>99104.33</c:v>
                </c:pt>
                <c:pt idx="4">
                  <c:v>94103.1</c:v>
                </c:pt>
                <c:pt idx="5">
                  <c:v>114159.01</c:v>
                </c:pt>
                <c:pt idx="6">
                  <c:v>109039.07</c:v>
                </c:pt>
                <c:pt idx="7">
                  <c:v>96716.78</c:v>
                </c:pt>
                <c:pt idx="8">
                  <c:v>97506.46</c:v>
                </c:pt>
                <c:pt idx="9">
                  <c:v>125314.75</c:v>
                </c:pt>
                <c:pt idx="10">
                  <c:v>121726.04</c:v>
                </c:pt>
                <c:pt idx="11">
                  <c:v>124459.89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C6-45C0-A41F-B7353E37A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8922207"/>
        <c:axId val="1038941887"/>
      </c:barChart>
      <c:catAx>
        <c:axId val="103892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941887"/>
        <c:crosses val="autoZero"/>
        <c:auto val="1"/>
        <c:lblAlgn val="ctr"/>
        <c:lblOffset val="100"/>
        <c:noMultiLvlLbl val="0"/>
      </c:catAx>
      <c:valAx>
        <c:axId val="1038941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92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[5.ZBI_Finance_Dashboard.xlsx]Pivot!PivotTable13</c:name>
    <c:fmtId val="3"/>
  </c:pivotSource>
  <c:chart>
    <c:autoTitleDeleted val="1"/>
    <c:pivotFmts>
      <c:pivotFmt>
        <c:idx val="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Pivot!$D$9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703-426B-B946-5F5DAFC62E7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703-426B-B946-5F5DAFC62E72}"/>
              </c:ext>
            </c:extLst>
          </c:dPt>
          <c:cat>
            <c:strRef>
              <c:f>Pivot!$C$10:$C$11</c:f>
              <c:strCache>
                <c:ptCount val="2"/>
                <c:pt idx="0">
                  <c:v>Sum of Net Profit</c:v>
                </c:pt>
                <c:pt idx="1">
                  <c:v>Sum of Income</c:v>
                </c:pt>
              </c:strCache>
            </c:strRef>
          </c:cat>
          <c:val>
            <c:numRef>
              <c:f>Pivot!$D$10:$D$11</c:f>
              <c:numCache>
                <c:formatCode>General</c:formatCode>
                <c:ptCount val="2"/>
                <c:pt idx="0">
                  <c:v>420712.39000000007</c:v>
                </c:pt>
                <c:pt idx="1">
                  <c:v>2571696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9-4F0F-8112-B7D283215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[5.ZBI_Finance_Dashboard.xlsx]Pivot!PivotTable12</c:name>
    <c:fmtId val="2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Pivot!$B$31</c:f>
              <c:strCache>
                <c:ptCount val="1"/>
                <c:pt idx="0">
                  <c:v>Sum of Income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Pivot!$A$32:$A$44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Pivot!$B$32:$B$44</c:f>
              <c:numCache>
                <c:formatCode>General</c:formatCode>
                <c:ptCount val="12"/>
                <c:pt idx="0">
                  <c:v>189871</c:v>
                </c:pt>
                <c:pt idx="1">
                  <c:v>194090</c:v>
                </c:pt>
                <c:pt idx="2">
                  <c:v>206748</c:v>
                </c:pt>
                <c:pt idx="3">
                  <c:v>210968</c:v>
                </c:pt>
                <c:pt idx="4">
                  <c:v>217297</c:v>
                </c:pt>
                <c:pt idx="5">
                  <c:v>221516</c:v>
                </c:pt>
                <c:pt idx="6">
                  <c:v>204639</c:v>
                </c:pt>
                <c:pt idx="7">
                  <c:v>194090</c:v>
                </c:pt>
                <c:pt idx="8">
                  <c:v>215187</c:v>
                </c:pt>
                <c:pt idx="9">
                  <c:v>227845</c:v>
                </c:pt>
                <c:pt idx="10">
                  <c:v>236284</c:v>
                </c:pt>
                <c:pt idx="11">
                  <c:v>253161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6-4DD9-8710-25AE9C2E8E70}"/>
            </c:ext>
          </c:extLst>
        </c:ser>
        <c:ser>
          <c:idx val="1"/>
          <c:order val="1"/>
          <c:tx>
            <c:strRef>
              <c:f>Pivot!$C$31</c:f>
              <c:strCache>
                <c:ptCount val="1"/>
                <c:pt idx="0">
                  <c:v>Sum of Gross Profit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Pivot!$A$32:$A$44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Pivot!$C$32:$C$44</c:f>
              <c:numCache>
                <c:formatCode>General</c:formatCode>
                <c:ptCount val="12"/>
                <c:pt idx="0">
                  <c:v>98232.84</c:v>
                </c:pt>
                <c:pt idx="1">
                  <c:v>96079.21</c:v>
                </c:pt>
                <c:pt idx="2">
                  <c:v>93096.320000000007</c:v>
                </c:pt>
                <c:pt idx="3">
                  <c:v>99104.33</c:v>
                </c:pt>
                <c:pt idx="4">
                  <c:v>94103.1</c:v>
                </c:pt>
                <c:pt idx="5">
                  <c:v>114159.01</c:v>
                </c:pt>
                <c:pt idx="6">
                  <c:v>109039.07</c:v>
                </c:pt>
                <c:pt idx="7">
                  <c:v>96716.78</c:v>
                </c:pt>
                <c:pt idx="8">
                  <c:v>97506.46</c:v>
                </c:pt>
                <c:pt idx="9">
                  <c:v>125314.75</c:v>
                </c:pt>
                <c:pt idx="10">
                  <c:v>121726.04</c:v>
                </c:pt>
                <c:pt idx="11">
                  <c:v>124459.89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96-4DD9-8710-25AE9C2E8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38922207"/>
        <c:axId val="1038941887"/>
      </c:barChart>
      <c:catAx>
        <c:axId val="103892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941887"/>
        <c:crosses val="autoZero"/>
        <c:auto val="1"/>
        <c:lblAlgn val="ctr"/>
        <c:lblOffset val="100"/>
        <c:noMultiLvlLbl val="0"/>
      </c:catAx>
      <c:valAx>
        <c:axId val="1038941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92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[5.ZBI_Finance_Dashboard.xlsx]Pivot!PivotTable13</c:name>
    <c:fmtId val="9"/>
  </c:pivotSource>
  <c:chart>
    <c:autoTitleDeleted val="1"/>
    <c:pivotFmts>
      <c:pivotFmt>
        <c:idx val="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</c:pivotFmts>
    <c:plotArea>
      <c:layout>
        <c:manualLayout>
          <c:layoutTarget val="inner"/>
          <c:xMode val="edge"/>
          <c:yMode val="edge"/>
          <c:x val="0.23602430470223681"/>
          <c:y val="0"/>
          <c:w val="0.53904841170758777"/>
          <c:h val="0.89828941285251962"/>
        </c:manualLayout>
      </c:layout>
      <c:doughnutChart>
        <c:varyColors val="1"/>
        <c:ser>
          <c:idx val="0"/>
          <c:order val="0"/>
          <c:tx>
            <c:strRef>
              <c:f>Pivot!$D$9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AF5-431E-A902-36FB664AF1F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AF5-431E-A902-36FB664AF1FB}"/>
              </c:ext>
            </c:extLst>
          </c:dPt>
          <c:cat>
            <c:strRef>
              <c:f>Pivot!$C$10:$C$11</c:f>
              <c:strCache>
                <c:ptCount val="2"/>
                <c:pt idx="0">
                  <c:v>Sum of Net Profit</c:v>
                </c:pt>
                <c:pt idx="1">
                  <c:v>Sum of Income</c:v>
                </c:pt>
              </c:strCache>
            </c:strRef>
          </c:cat>
          <c:val>
            <c:numRef>
              <c:f>Pivot!$D$10:$D$11</c:f>
              <c:numCache>
                <c:formatCode>General</c:formatCode>
                <c:ptCount val="2"/>
                <c:pt idx="0">
                  <c:v>420712.39000000007</c:v>
                </c:pt>
                <c:pt idx="1">
                  <c:v>2571696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F5-431E-A902-36FB664AF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18" Type="http://schemas.openxmlformats.org/officeDocument/2006/relationships/image" Target="../media/image1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17" Type="http://schemas.openxmlformats.org/officeDocument/2006/relationships/image" Target="../media/image17.png"/><Relationship Id="rId2" Type="http://schemas.openxmlformats.org/officeDocument/2006/relationships/image" Target="../media/image2.svg"/><Relationship Id="rId16" Type="http://schemas.openxmlformats.org/officeDocument/2006/relationships/image" Target="../media/image16.svg"/><Relationship Id="rId20" Type="http://schemas.openxmlformats.org/officeDocument/2006/relationships/image" Target="../media/image20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svg"/><Relationship Id="rId19" Type="http://schemas.openxmlformats.org/officeDocument/2006/relationships/image" Target="../media/image19.pn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image" Target="../media/image14.sv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18" Type="http://schemas.openxmlformats.org/officeDocument/2006/relationships/image" Target="../media/image18.svg"/><Relationship Id="rId3" Type="http://schemas.openxmlformats.org/officeDocument/2006/relationships/image" Target="../media/image3.png"/><Relationship Id="rId21" Type="http://schemas.openxmlformats.org/officeDocument/2006/relationships/chart" Target="../charts/chart3.xml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17" Type="http://schemas.openxmlformats.org/officeDocument/2006/relationships/image" Target="../media/image17.png"/><Relationship Id="rId2" Type="http://schemas.openxmlformats.org/officeDocument/2006/relationships/image" Target="../media/image2.svg"/><Relationship Id="rId16" Type="http://schemas.openxmlformats.org/officeDocument/2006/relationships/image" Target="../media/image16.svg"/><Relationship Id="rId20" Type="http://schemas.openxmlformats.org/officeDocument/2006/relationships/image" Target="../media/image20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svg"/><Relationship Id="rId19" Type="http://schemas.openxmlformats.org/officeDocument/2006/relationships/image" Target="../media/image19.pn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image" Target="../media/image14.svg"/><Relationship Id="rId2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2</xdr:col>
      <xdr:colOff>518042</xdr:colOff>
      <xdr:row>15</xdr:row>
      <xdr:rowOff>135255</xdr:rowOff>
    </xdr:to>
    <xdr:pic>
      <xdr:nvPicPr>
        <xdr:cNvPr id="3" name="Graphic 2" descr="Coins outline">
          <a:extLst>
            <a:ext uri="{FF2B5EF4-FFF2-40B4-BE49-F238E27FC236}">
              <a16:creationId xmlns:a16="http://schemas.microsoft.com/office/drawing/2014/main" id="{D28CBB8C-E681-4850-BA90-90238A0DB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47800" y="2352675"/>
          <a:ext cx="518042" cy="504825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</xdr:colOff>
      <xdr:row>13</xdr:row>
      <xdr:rowOff>1</xdr:rowOff>
    </xdr:from>
    <xdr:to>
      <xdr:col>3</xdr:col>
      <xdr:colOff>588645</xdr:colOff>
      <xdr:row>15</xdr:row>
      <xdr:rowOff>129541</xdr:rowOff>
    </xdr:to>
    <xdr:pic>
      <xdr:nvPicPr>
        <xdr:cNvPr id="4" name="Graphic 3" descr="Gears outline">
          <a:extLst>
            <a:ext uri="{FF2B5EF4-FFF2-40B4-BE49-F238E27FC236}">
              <a16:creationId xmlns:a16="http://schemas.microsoft.com/office/drawing/2014/main" id="{20B18838-80D3-49FD-A1ED-B3FF2BB1D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979295" y="2352676"/>
          <a:ext cx="5715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12</xdr:row>
      <xdr:rowOff>171450</xdr:rowOff>
    </xdr:from>
    <xdr:to>
      <xdr:col>4</xdr:col>
      <xdr:colOff>722494</xdr:colOff>
      <xdr:row>16</xdr:row>
      <xdr:rowOff>20955</xdr:rowOff>
    </xdr:to>
    <xdr:pic>
      <xdr:nvPicPr>
        <xdr:cNvPr id="5" name="Graphic 4" descr="Bar graph with upward trend outline">
          <a:extLst>
            <a:ext uri="{FF2B5EF4-FFF2-40B4-BE49-F238E27FC236}">
              <a16:creationId xmlns:a16="http://schemas.microsoft.com/office/drawing/2014/main" id="{41DF9A9B-8F87-4AA3-B2B8-64EE59D9D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781300" y="2343150"/>
          <a:ext cx="579619" cy="5810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476730</xdr:colOff>
      <xdr:row>15</xdr:row>
      <xdr:rowOff>97155</xdr:rowOff>
    </xdr:to>
    <xdr:pic>
      <xdr:nvPicPr>
        <xdr:cNvPr id="6" name="Graphic 5" descr="Bank outline">
          <a:extLst>
            <a:ext uri="{FF2B5EF4-FFF2-40B4-BE49-F238E27FC236}">
              <a16:creationId xmlns:a16="http://schemas.microsoft.com/office/drawing/2014/main" id="{C8ADF2B9-2CBB-4617-B85B-B633F6BB4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6400800" y="2352675"/>
          <a:ext cx="472920" cy="466725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13</xdr:row>
      <xdr:rowOff>0</xdr:rowOff>
    </xdr:from>
    <xdr:to>
      <xdr:col>5</xdr:col>
      <xdr:colOff>1466851</xdr:colOff>
      <xdr:row>16</xdr:row>
      <xdr:rowOff>15240</xdr:rowOff>
    </xdr:to>
    <xdr:pic>
      <xdr:nvPicPr>
        <xdr:cNvPr id="7" name="Graphic 6" descr="Philanthropy outline">
          <a:extLst>
            <a:ext uri="{FF2B5EF4-FFF2-40B4-BE49-F238E27FC236}">
              <a16:creationId xmlns:a16="http://schemas.microsoft.com/office/drawing/2014/main" id="{4613C67C-D457-424C-B5E1-A9FD77889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400426" y="2352675"/>
          <a:ext cx="1463040" cy="561975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12</xdr:row>
      <xdr:rowOff>133350</xdr:rowOff>
    </xdr:from>
    <xdr:to>
      <xdr:col>6</xdr:col>
      <xdr:colOff>1051093</xdr:colOff>
      <xdr:row>16</xdr:row>
      <xdr:rowOff>53340</xdr:rowOff>
    </xdr:to>
    <xdr:pic>
      <xdr:nvPicPr>
        <xdr:cNvPr id="8" name="Graphic 7" descr="Money outline">
          <a:extLst>
            <a:ext uri="{FF2B5EF4-FFF2-40B4-BE49-F238E27FC236}">
              <a16:creationId xmlns:a16="http://schemas.microsoft.com/office/drawing/2014/main" id="{A64D6E12-54DA-4BCB-A510-C812E3923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5410200" y="2305050"/>
          <a:ext cx="628183" cy="63627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38101</xdr:colOff>
      <xdr:row>12</xdr:row>
      <xdr:rowOff>152400</xdr:rowOff>
    </xdr:from>
    <xdr:to>
      <xdr:col>8</xdr:col>
      <xdr:colOff>626051</xdr:colOff>
      <xdr:row>16</xdr:row>
      <xdr:rowOff>36195</xdr:rowOff>
    </xdr:to>
    <xdr:pic>
      <xdr:nvPicPr>
        <xdr:cNvPr id="9" name="Graphic 8" descr="Wallet outline">
          <a:extLst>
            <a:ext uri="{FF2B5EF4-FFF2-40B4-BE49-F238E27FC236}">
              <a16:creationId xmlns:a16="http://schemas.microsoft.com/office/drawing/2014/main" id="{AD55883E-4788-4460-AD88-66A6C078F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6991351" y="2324100"/>
          <a:ext cx="591760" cy="607695"/>
        </a:xfrm>
        <a:prstGeom prst="rect">
          <a:avLst/>
        </a:prstGeom>
      </xdr:spPr>
    </xdr:pic>
    <xdr:clientData/>
  </xdr:twoCellAnchor>
  <xdr:twoCellAnchor editAs="oneCell">
    <xdr:from>
      <xdr:col>14</xdr:col>
      <xdr:colOff>131446</xdr:colOff>
      <xdr:row>13</xdr:row>
      <xdr:rowOff>0</xdr:rowOff>
    </xdr:from>
    <xdr:to>
      <xdr:col>14</xdr:col>
      <xdr:colOff>721996</xdr:colOff>
      <xdr:row>16</xdr:row>
      <xdr:rowOff>54573</xdr:rowOff>
    </xdr:to>
    <xdr:pic>
      <xdr:nvPicPr>
        <xdr:cNvPr id="10" name="Graphic 9" descr="Scales of justice outline">
          <a:extLst>
            <a:ext uri="{FF2B5EF4-FFF2-40B4-BE49-F238E27FC236}">
              <a16:creationId xmlns:a16="http://schemas.microsoft.com/office/drawing/2014/main" id="{1219BA24-F250-482A-9901-E1FECAED4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4009371" y="2352675"/>
          <a:ext cx="590550" cy="589878"/>
        </a:xfrm>
        <a:prstGeom prst="rect">
          <a:avLst/>
        </a:prstGeom>
      </xdr:spPr>
    </xdr:pic>
    <xdr:clientData/>
  </xdr:twoCellAnchor>
  <xdr:twoCellAnchor editAs="oneCell">
    <xdr:from>
      <xdr:col>13</xdr:col>
      <xdr:colOff>295275</xdr:colOff>
      <xdr:row>13</xdr:row>
      <xdr:rowOff>1</xdr:rowOff>
    </xdr:from>
    <xdr:to>
      <xdr:col>13</xdr:col>
      <xdr:colOff>973455</xdr:colOff>
      <xdr:row>16</xdr:row>
      <xdr:rowOff>129958</xdr:rowOff>
    </xdr:to>
    <xdr:pic>
      <xdr:nvPicPr>
        <xdr:cNvPr id="11" name="Graphic 10" descr="Flying Money outline">
          <a:extLst>
            <a:ext uri="{FF2B5EF4-FFF2-40B4-BE49-F238E27FC236}">
              <a16:creationId xmlns:a16="http://schemas.microsoft.com/office/drawing/2014/main" id="{B3453780-9509-4DB4-98D9-210B6A25A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3068300" y="2352676"/>
          <a:ext cx="674370" cy="676692"/>
        </a:xfrm>
        <a:prstGeom prst="rect">
          <a:avLst/>
        </a:prstGeom>
      </xdr:spPr>
    </xdr:pic>
    <xdr:clientData/>
  </xdr:twoCellAnchor>
  <xdr:twoCellAnchor editAs="oneCell">
    <xdr:from>
      <xdr:col>12</xdr:col>
      <xdr:colOff>400050</xdr:colOff>
      <xdr:row>13</xdr:row>
      <xdr:rowOff>9525</xdr:rowOff>
    </xdr:from>
    <xdr:to>
      <xdr:col>12</xdr:col>
      <xdr:colOff>1024890</xdr:colOff>
      <xdr:row>16</xdr:row>
      <xdr:rowOff>93464</xdr:rowOff>
    </xdr:to>
    <xdr:pic>
      <xdr:nvPicPr>
        <xdr:cNvPr id="12" name="Graphic 11" descr="Dollar with solid fill">
          <a:extLst>
            <a:ext uri="{FF2B5EF4-FFF2-40B4-BE49-F238E27FC236}">
              <a16:creationId xmlns:a16="http://schemas.microsoft.com/office/drawing/2014/main" id="{1F68BF09-5E7E-4BBD-8F31-D6394BF42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11877675" y="2362200"/>
          <a:ext cx="624840" cy="6363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59055</xdr:rowOff>
    </xdr:from>
    <xdr:to>
      <xdr:col>6</xdr:col>
      <xdr:colOff>390525</xdr:colOff>
      <xdr:row>26</xdr:row>
      <xdr:rowOff>133350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Date">
              <a:extLst>
                <a:ext uri="{FF2B5EF4-FFF2-40B4-BE49-F238E27FC236}">
                  <a16:creationId xmlns:a16="http://schemas.microsoft.com/office/drawing/2014/main" id="{BC31EA2C-7555-5255-A1FD-E24F5B7BCE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74745"/>
              <a:ext cx="5402580" cy="11601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  <xdr:twoCellAnchor>
    <xdr:from>
      <xdr:col>6</xdr:col>
      <xdr:colOff>573405</xdr:colOff>
      <xdr:row>22</xdr:row>
      <xdr:rowOff>25717</xdr:rowOff>
    </xdr:from>
    <xdr:to>
      <xdr:col>11</xdr:col>
      <xdr:colOff>421005</xdr:colOff>
      <xdr:row>37</xdr:row>
      <xdr:rowOff>50482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0FCE44-3E3D-EA1A-C33D-7F6644798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819150</xdr:colOff>
      <xdr:row>3</xdr:row>
      <xdr:rowOff>6667</xdr:rowOff>
    </xdr:from>
    <xdr:to>
      <xdr:col>10</xdr:col>
      <xdr:colOff>419100</xdr:colOff>
      <xdr:row>18</xdr:row>
      <xdr:rowOff>31432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21C5AA-8846-84B9-7BF6-201FD93D8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</xdr:colOff>
      <xdr:row>0</xdr:row>
      <xdr:rowOff>142874</xdr:rowOff>
    </xdr:from>
    <xdr:to>
      <xdr:col>28</xdr:col>
      <xdr:colOff>283845</xdr:colOff>
      <xdr:row>38</xdr:row>
      <xdr:rowOff>19049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64E13240-24D6-5EA4-669F-4E2F00EC38EF}"/>
            </a:ext>
          </a:extLst>
        </xdr:cNvPr>
        <xdr:cNvSpPr/>
      </xdr:nvSpPr>
      <xdr:spPr>
        <a:xfrm>
          <a:off x="131445" y="142874"/>
          <a:ext cx="17221200" cy="6753225"/>
        </a:xfrm>
        <a:prstGeom prst="roundRect">
          <a:avLst>
            <a:gd name="adj" fmla="val 9627"/>
          </a:avLst>
        </a:prstGeom>
        <a:solidFill>
          <a:srgbClr val="335A89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7620</xdr:colOff>
      <xdr:row>1</xdr:row>
      <xdr:rowOff>83820</xdr:rowOff>
    </xdr:from>
    <xdr:to>
      <xdr:col>13</xdr:col>
      <xdr:colOff>38100</xdr:colOff>
      <xdr:row>5</xdr:row>
      <xdr:rowOff>104775</xdr:rowOff>
    </xdr:to>
    <xdr:sp macro="" textlink="Pivot!E2">
      <xdr:nvSpPr>
        <xdr:cNvPr id="4" name="Rectangle: Rounded Corners 3">
          <a:extLst>
            <a:ext uri="{FF2B5EF4-FFF2-40B4-BE49-F238E27FC236}">
              <a16:creationId xmlns:a16="http://schemas.microsoft.com/office/drawing/2014/main" id="{1941F008-15EE-423D-AC5E-70CBED567F09}"/>
            </a:ext>
          </a:extLst>
        </xdr:cNvPr>
        <xdr:cNvSpPr/>
      </xdr:nvSpPr>
      <xdr:spPr>
        <a:xfrm>
          <a:off x="6103620" y="264795"/>
          <a:ext cx="1859280" cy="744855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fld id="{607F8DD1-5DE6-4990-A112-2E49A301F7F4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2.571.696</a:t>
          </a:fld>
          <a:endParaRPr lang="en-US" sz="18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10</xdr:col>
      <xdr:colOff>7620</xdr:colOff>
      <xdr:row>1</xdr:row>
      <xdr:rowOff>83820</xdr:rowOff>
    </xdr:from>
    <xdr:to>
      <xdr:col>10</xdr:col>
      <xdr:colOff>510540</xdr:colOff>
      <xdr:row>4</xdr:row>
      <xdr:rowOff>35027</xdr:rowOff>
    </xdr:to>
    <xdr:pic>
      <xdr:nvPicPr>
        <xdr:cNvPr id="5" name="Graphic 4" descr="Coins outline">
          <a:extLst>
            <a:ext uri="{FF2B5EF4-FFF2-40B4-BE49-F238E27FC236}">
              <a16:creationId xmlns:a16="http://schemas.microsoft.com/office/drawing/2014/main" id="{69329000-AC5C-4D05-996B-39A93A7C2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103620" y="264795"/>
          <a:ext cx="497205" cy="494132"/>
        </a:xfrm>
        <a:prstGeom prst="rect">
          <a:avLst/>
        </a:prstGeom>
      </xdr:spPr>
    </xdr:pic>
    <xdr:clientData/>
  </xdr:twoCellAnchor>
  <xdr:twoCellAnchor>
    <xdr:from>
      <xdr:col>16</xdr:col>
      <xdr:colOff>434340</xdr:colOff>
      <xdr:row>1</xdr:row>
      <xdr:rowOff>81915</xdr:rowOff>
    </xdr:from>
    <xdr:to>
      <xdr:col>19</xdr:col>
      <xdr:colOff>468630</xdr:colOff>
      <xdr:row>5</xdr:row>
      <xdr:rowOff>102870</xdr:rowOff>
    </xdr:to>
    <xdr:sp macro="" textlink="Pivot!K2">
      <xdr:nvSpPr>
        <xdr:cNvPr id="6" name="Rectangle: Rounded Corners 5">
          <a:extLst>
            <a:ext uri="{FF2B5EF4-FFF2-40B4-BE49-F238E27FC236}">
              <a16:creationId xmlns:a16="http://schemas.microsoft.com/office/drawing/2014/main" id="{9F2E02FD-1CAC-47C1-9512-8ADC133D68DB}"/>
            </a:ext>
          </a:extLst>
        </xdr:cNvPr>
        <xdr:cNvSpPr/>
      </xdr:nvSpPr>
      <xdr:spPr>
        <a:xfrm>
          <a:off x="10187940" y="262890"/>
          <a:ext cx="1863090" cy="744855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C0931529-0FE7-4C57-BDE8-1AAE25A85875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1.269.538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13</xdr:col>
      <xdr:colOff>224790</xdr:colOff>
      <xdr:row>1</xdr:row>
      <xdr:rowOff>81915</xdr:rowOff>
    </xdr:from>
    <xdr:to>
      <xdr:col>16</xdr:col>
      <xdr:colOff>259080</xdr:colOff>
      <xdr:row>5</xdr:row>
      <xdr:rowOff>102870</xdr:rowOff>
    </xdr:to>
    <xdr:sp macro="" textlink="Pivot!H2">
      <xdr:nvSpPr>
        <xdr:cNvPr id="7" name="Rectangle: Rounded Corners 6">
          <a:extLst>
            <a:ext uri="{FF2B5EF4-FFF2-40B4-BE49-F238E27FC236}">
              <a16:creationId xmlns:a16="http://schemas.microsoft.com/office/drawing/2014/main" id="{61093EBD-0C01-450E-8479-1BB4C4D639BA}"/>
            </a:ext>
          </a:extLst>
        </xdr:cNvPr>
        <xdr:cNvSpPr/>
      </xdr:nvSpPr>
      <xdr:spPr>
        <a:xfrm>
          <a:off x="8149590" y="262890"/>
          <a:ext cx="1863090" cy="744855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A8B04F2A-EEE0-4F2F-B11D-03DB9DB401FA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1.302.158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13</xdr:col>
      <xdr:colOff>207645</xdr:colOff>
      <xdr:row>1</xdr:row>
      <xdr:rowOff>93345</xdr:rowOff>
    </xdr:from>
    <xdr:to>
      <xdr:col>14</xdr:col>
      <xdr:colOff>53340</xdr:colOff>
      <xdr:row>4</xdr:row>
      <xdr:rowOff>21547</xdr:rowOff>
    </xdr:to>
    <xdr:pic>
      <xdr:nvPicPr>
        <xdr:cNvPr id="8" name="Graphic 7" descr="Gears outline">
          <a:extLst>
            <a:ext uri="{FF2B5EF4-FFF2-40B4-BE49-F238E27FC236}">
              <a16:creationId xmlns:a16="http://schemas.microsoft.com/office/drawing/2014/main" id="{501BF64C-76FE-42BD-944B-EC73F97D9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132445" y="274320"/>
          <a:ext cx="449580" cy="463507"/>
        </a:xfrm>
        <a:prstGeom prst="rect">
          <a:avLst/>
        </a:prstGeom>
      </xdr:spPr>
    </xdr:pic>
    <xdr:clientData/>
  </xdr:twoCellAnchor>
  <xdr:twoCellAnchor editAs="oneCell">
    <xdr:from>
      <xdr:col>16</xdr:col>
      <xdr:colOff>457200</xdr:colOff>
      <xdr:row>1</xdr:row>
      <xdr:rowOff>110490</xdr:rowOff>
    </xdr:from>
    <xdr:to>
      <xdr:col>17</xdr:col>
      <xdr:colOff>321945</xdr:colOff>
      <xdr:row>4</xdr:row>
      <xdr:rowOff>37814</xdr:rowOff>
    </xdr:to>
    <xdr:pic>
      <xdr:nvPicPr>
        <xdr:cNvPr id="9" name="Graphic 8" descr="Bar graph with upward trend outline">
          <a:extLst>
            <a:ext uri="{FF2B5EF4-FFF2-40B4-BE49-F238E27FC236}">
              <a16:creationId xmlns:a16="http://schemas.microsoft.com/office/drawing/2014/main" id="{572E2E0D-B406-426F-B163-91F7FAC1B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0210800" y="291465"/>
          <a:ext cx="474345" cy="470249"/>
        </a:xfrm>
        <a:prstGeom prst="rect">
          <a:avLst/>
        </a:prstGeom>
      </xdr:spPr>
    </xdr:pic>
    <xdr:clientData/>
  </xdr:twoCellAnchor>
  <xdr:twoCellAnchor>
    <xdr:from>
      <xdr:col>20</xdr:col>
      <xdr:colOff>24765</xdr:colOff>
      <xdr:row>1</xdr:row>
      <xdr:rowOff>95250</xdr:rowOff>
    </xdr:from>
    <xdr:to>
      <xdr:col>23</xdr:col>
      <xdr:colOff>57150</xdr:colOff>
      <xdr:row>5</xdr:row>
      <xdr:rowOff>106680</xdr:rowOff>
    </xdr:to>
    <xdr:sp macro="" textlink="Pivot!N2">
      <xdr:nvSpPr>
        <xdr:cNvPr id="11" name="Rectangle: Rounded Corners 10">
          <a:extLst>
            <a:ext uri="{FF2B5EF4-FFF2-40B4-BE49-F238E27FC236}">
              <a16:creationId xmlns:a16="http://schemas.microsoft.com/office/drawing/2014/main" id="{89D17DC1-B9A7-4F52-B786-906F5D8EFC22}"/>
            </a:ext>
          </a:extLst>
        </xdr:cNvPr>
        <xdr:cNvSpPr/>
      </xdr:nvSpPr>
      <xdr:spPr>
        <a:xfrm>
          <a:off x="12216765" y="276225"/>
          <a:ext cx="1861185" cy="73533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35405B24-5CA3-4324-BDD2-2CFFC375A653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63.948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20</xdr:col>
      <xdr:colOff>26670</xdr:colOff>
      <xdr:row>1</xdr:row>
      <xdr:rowOff>114300</xdr:rowOff>
    </xdr:from>
    <xdr:to>
      <xdr:col>20</xdr:col>
      <xdr:colOff>436245</xdr:colOff>
      <xdr:row>3</xdr:row>
      <xdr:rowOff>152807</xdr:rowOff>
    </xdr:to>
    <xdr:pic>
      <xdr:nvPicPr>
        <xdr:cNvPr id="13" name="Graphic 12" descr="Bank outline">
          <a:extLst>
            <a:ext uri="{FF2B5EF4-FFF2-40B4-BE49-F238E27FC236}">
              <a16:creationId xmlns:a16="http://schemas.microsoft.com/office/drawing/2014/main" id="{C82E542B-02BE-47E5-9A78-5558643AA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2218670" y="295275"/>
          <a:ext cx="409575" cy="400457"/>
        </a:xfrm>
        <a:prstGeom prst="rect">
          <a:avLst/>
        </a:prstGeom>
      </xdr:spPr>
    </xdr:pic>
    <xdr:clientData/>
  </xdr:twoCellAnchor>
  <xdr:twoCellAnchor>
    <xdr:from>
      <xdr:col>23</xdr:col>
      <xdr:colOff>238125</xdr:colOff>
      <xdr:row>1</xdr:row>
      <xdr:rowOff>83820</xdr:rowOff>
    </xdr:from>
    <xdr:to>
      <xdr:col>26</xdr:col>
      <xdr:colOff>314325</xdr:colOff>
      <xdr:row>5</xdr:row>
      <xdr:rowOff>100965</xdr:rowOff>
    </xdr:to>
    <xdr:sp macro="" textlink="Pivot!Q2">
      <xdr:nvSpPr>
        <xdr:cNvPr id="14" name="Rectangle: Rounded Corners 13">
          <a:extLst>
            <a:ext uri="{FF2B5EF4-FFF2-40B4-BE49-F238E27FC236}">
              <a16:creationId xmlns:a16="http://schemas.microsoft.com/office/drawing/2014/main" id="{FE7903BD-D0CA-49B3-B3B5-FE0A3286E084}"/>
            </a:ext>
          </a:extLst>
        </xdr:cNvPr>
        <xdr:cNvSpPr/>
      </xdr:nvSpPr>
      <xdr:spPr>
        <a:xfrm>
          <a:off x="14258925" y="264795"/>
          <a:ext cx="1905000" cy="741045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36A6ECA0-1349-4425-A9C3-6211E0FC651B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784.877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23</xdr:col>
      <xdr:colOff>188595</xdr:colOff>
      <xdr:row>1</xdr:row>
      <xdr:rowOff>95250</xdr:rowOff>
    </xdr:from>
    <xdr:to>
      <xdr:col>24</xdr:col>
      <xdr:colOff>129540</xdr:colOff>
      <xdr:row>3</xdr:row>
      <xdr:rowOff>167640</xdr:rowOff>
    </xdr:to>
    <xdr:pic>
      <xdr:nvPicPr>
        <xdr:cNvPr id="15" name="Graphic 14" descr="Philanthropy outline">
          <a:extLst>
            <a:ext uri="{FF2B5EF4-FFF2-40B4-BE49-F238E27FC236}">
              <a16:creationId xmlns:a16="http://schemas.microsoft.com/office/drawing/2014/main" id="{DDEF84B9-E27B-4F5F-B077-AEAFD8F88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4209395" y="276225"/>
          <a:ext cx="544830" cy="434340"/>
        </a:xfrm>
        <a:prstGeom prst="rect">
          <a:avLst/>
        </a:prstGeom>
      </xdr:spPr>
    </xdr:pic>
    <xdr:clientData/>
  </xdr:twoCellAnchor>
  <xdr:twoCellAnchor>
    <xdr:from>
      <xdr:col>9</xdr:col>
      <xdr:colOff>607695</xdr:colOff>
      <xdr:row>6</xdr:row>
      <xdr:rowOff>114300</xdr:rowOff>
    </xdr:from>
    <xdr:to>
      <xdr:col>13</xdr:col>
      <xdr:colOff>38100</xdr:colOff>
      <xdr:row>10</xdr:row>
      <xdr:rowOff>140970</xdr:rowOff>
    </xdr:to>
    <xdr:sp macro="" textlink="Pivot!T2">
      <xdr:nvSpPr>
        <xdr:cNvPr id="16" name="Rectangle: Rounded Corners 15">
          <a:extLst>
            <a:ext uri="{FF2B5EF4-FFF2-40B4-BE49-F238E27FC236}">
              <a16:creationId xmlns:a16="http://schemas.microsoft.com/office/drawing/2014/main" id="{0FD00347-1EB8-42BB-B549-C4450C39D8CD}"/>
            </a:ext>
          </a:extLst>
        </xdr:cNvPr>
        <xdr:cNvSpPr/>
      </xdr:nvSpPr>
      <xdr:spPr>
        <a:xfrm>
          <a:off x="6094095" y="1200150"/>
          <a:ext cx="1868805" cy="75057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FB519653-E983-42CF-A579-D01D98DBBAF7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484.661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9</xdr:col>
      <xdr:colOff>607695</xdr:colOff>
      <xdr:row>6</xdr:row>
      <xdr:rowOff>114300</xdr:rowOff>
    </xdr:from>
    <xdr:to>
      <xdr:col>10</xdr:col>
      <xdr:colOff>472440</xdr:colOff>
      <xdr:row>9</xdr:row>
      <xdr:rowOff>0</xdr:rowOff>
    </xdr:to>
    <xdr:pic>
      <xdr:nvPicPr>
        <xdr:cNvPr id="17" name="Graphic 16" descr="Money outline">
          <a:extLst>
            <a:ext uri="{FF2B5EF4-FFF2-40B4-BE49-F238E27FC236}">
              <a16:creationId xmlns:a16="http://schemas.microsoft.com/office/drawing/2014/main" id="{E6E8008E-F6D1-49A4-B8B7-D6022FC62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094095" y="1200150"/>
          <a:ext cx="474345" cy="428625"/>
        </a:xfrm>
        <a:prstGeom prst="rect">
          <a:avLst/>
        </a:prstGeom>
      </xdr:spPr>
    </xdr:pic>
    <xdr:clientData/>
  </xdr:twoCellAnchor>
  <xdr:twoCellAnchor>
    <xdr:from>
      <xdr:col>13</xdr:col>
      <xdr:colOff>217170</xdr:colOff>
      <xdr:row>6</xdr:row>
      <xdr:rowOff>114300</xdr:rowOff>
    </xdr:from>
    <xdr:to>
      <xdr:col>16</xdr:col>
      <xdr:colOff>257175</xdr:colOff>
      <xdr:row>10</xdr:row>
      <xdr:rowOff>144780</xdr:rowOff>
    </xdr:to>
    <xdr:sp macro="" textlink="Pivot!W2">
      <xdr:nvSpPr>
        <xdr:cNvPr id="18" name="Rectangle: Rounded Corners 17">
          <a:extLst>
            <a:ext uri="{FF2B5EF4-FFF2-40B4-BE49-F238E27FC236}">
              <a16:creationId xmlns:a16="http://schemas.microsoft.com/office/drawing/2014/main" id="{E89F13EF-CD9E-4872-806B-F6493CD08086}"/>
            </a:ext>
          </a:extLst>
        </xdr:cNvPr>
        <xdr:cNvSpPr/>
      </xdr:nvSpPr>
      <xdr:spPr>
        <a:xfrm>
          <a:off x="8141970" y="1200150"/>
          <a:ext cx="1868805" cy="75438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7D91DB38-8F45-4554-94F5-33E1441ED7FE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420.712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13</xdr:col>
      <xdr:colOff>215265</xdr:colOff>
      <xdr:row>6</xdr:row>
      <xdr:rowOff>114300</xdr:rowOff>
    </xdr:from>
    <xdr:to>
      <xdr:col>14</xdr:col>
      <xdr:colOff>57150</xdr:colOff>
      <xdr:row>9</xdr:row>
      <xdr:rowOff>36559</xdr:rowOff>
    </xdr:to>
    <xdr:pic>
      <xdr:nvPicPr>
        <xdr:cNvPr id="19" name="Graphic 18" descr="Wallet outline">
          <a:extLst>
            <a:ext uri="{FF2B5EF4-FFF2-40B4-BE49-F238E27FC236}">
              <a16:creationId xmlns:a16="http://schemas.microsoft.com/office/drawing/2014/main" id="{399813AC-13D4-4798-A5C5-9BA0F9C60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8140065" y="1200150"/>
          <a:ext cx="451485" cy="465184"/>
        </a:xfrm>
        <a:prstGeom prst="rect">
          <a:avLst/>
        </a:prstGeom>
      </xdr:spPr>
    </xdr:pic>
    <xdr:clientData/>
  </xdr:twoCellAnchor>
  <xdr:twoCellAnchor>
    <xdr:from>
      <xdr:col>16</xdr:col>
      <xdr:colOff>455295</xdr:colOff>
      <xdr:row>6</xdr:row>
      <xdr:rowOff>114300</xdr:rowOff>
    </xdr:from>
    <xdr:to>
      <xdr:col>19</xdr:col>
      <xdr:colOff>495300</xdr:colOff>
      <xdr:row>10</xdr:row>
      <xdr:rowOff>140970</xdr:rowOff>
    </xdr:to>
    <xdr:sp macro="" textlink="Pivot!Z2">
      <xdr:nvSpPr>
        <xdr:cNvPr id="20" name="Rectangle: Rounded Corners 19">
          <a:extLst>
            <a:ext uri="{FF2B5EF4-FFF2-40B4-BE49-F238E27FC236}">
              <a16:creationId xmlns:a16="http://schemas.microsoft.com/office/drawing/2014/main" id="{486A03CA-C43F-45F3-9F86-0F090F089895}"/>
            </a:ext>
          </a:extLst>
        </xdr:cNvPr>
        <xdr:cNvSpPr/>
      </xdr:nvSpPr>
      <xdr:spPr>
        <a:xfrm>
          <a:off x="10208895" y="1200150"/>
          <a:ext cx="1868805" cy="75057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C71B1411-8C15-453C-B01E-6035A58A3A0C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3.541.291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16</xdr:col>
      <xdr:colOff>455295</xdr:colOff>
      <xdr:row>6</xdr:row>
      <xdr:rowOff>114300</xdr:rowOff>
    </xdr:from>
    <xdr:to>
      <xdr:col>17</xdr:col>
      <xdr:colOff>281940</xdr:colOff>
      <xdr:row>9</xdr:row>
      <xdr:rowOff>11813</xdr:rowOff>
    </xdr:to>
    <xdr:pic>
      <xdr:nvPicPr>
        <xdr:cNvPr id="21" name="Graphic 20" descr="Scales of justice outline">
          <a:extLst>
            <a:ext uri="{FF2B5EF4-FFF2-40B4-BE49-F238E27FC236}">
              <a16:creationId xmlns:a16="http://schemas.microsoft.com/office/drawing/2014/main" id="{DC27E602-5C5C-4E51-BE94-F2694FFF4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0208895" y="1200150"/>
          <a:ext cx="430530" cy="432818"/>
        </a:xfrm>
        <a:prstGeom prst="rect">
          <a:avLst/>
        </a:prstGeom>
      </xdr:spPr>
    </xdr:pic>
    <xdr:clientData/>
  </xdr:twoCellAnchor>
  <xdr:twoCellAnchor>
    <xdr:from>
      <xdr:col>20</xdr:col>
      <xdr:colOff>26670</xdr:colOff>
      <xdr:row>6</xdr:row>
      <xdr:rowOff>76200</xdr:rowOff>
    </xdr:from>
    <xdr:to>
      <xdr:col>23</xdr:col>
      <xdr:colOff>66675</xdr:colOff>
      <xdr:row>10</xdr:row>
      <xdr:rowOff>106680</xdr:rowOff>
    </xdr:to>
    <xdr:sp macro="" textlink="Pivot!AC2">
      <xdr:nvSpPr>
        <xdr:cNvPr id="22" name="Rectangle: Rounded Corners 21">
          <a:extLst>
            <a:ext uri="{FF2B5EF4-FFF2-40B4-BE49-F238E27FC236}">
              <a16:creationId xmlns:a16="http://schemas.microsoft.com/office/drawing/2014/main" id="{48183C21-9EE8-4430-AEBA-A929735C0180}"/>
            </a:ext>
          </a:extLst>
        </xdr:cNvPr>
        <xdr:cNvSpPr/>
      </xdr:nvSpPr>
      <xdr:spPr>
        <a:xfrm>
          <a:off x="12218670" y="1162050"/>
          <a:ext cx="1868805" cy="75438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43FB6A88-3CCC-447B-AF03-F53DE8184B7F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574.195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23</xdr:col>
      <xdr:colOff>209550</xdr:colOff>
      <xdr:row>6</xdr:row>
      <xdr:rowOff>87630</xdr:rowOff>
    </xdr:from>
    <xdr:to>
      <xdr:col>26</xdr:col>
      <xdr:colOff>333375</xdr:colOff>
      <xdr:row>10</xdr:row>
      <xdr:rowOff>104775</xdr:rowOff>
    </xdr:to>
    <xdr:sp macro="" textlink="Pivot!AF2">
      <xdr:nvSpPr>
        <xdr:cNvPr id="23" name="Rectangle: Rounded Corners 22">
          <a:extLst>
            <a:ext uri="{FF2B5EF4-FFF2-40B4-BE49-F238E27FC236}">
              <a16:creationId xmlns:a16="http://schemas.microsoft.com/office/drawing/2014/main" id="{76981AB4-7768-4026-B9D2-22070581282A}"/>
            </a:ext>
          </a:extLst>
        </xdr:cNvPr>
        <xdr:cNvSpPr/>
      </xdr:nvSpPr>
      <xdr:spPr>
        <a:xfrm>
          <a:off x="14230350" y="1173480"/>
          <a:ext cx="1952625" cy="741045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B2304C4A-BE22-4925-918B-E197B6E4FF92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553.476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23</xdr:col>
      <xdr:colOff>209550</xdr:colOff>
      <xdr:row>6</xdr:row>
      <xdr:rowOff>87630</xdr:rowOff>
    </xdr:from>
    <xdr:to>
      <xdr:col>24</xdr:col>
      <xdr:colOff>35284</xdr:colOff>
      <xdr:row>8</xdr:row>
      <xdr:rowOff>167640</xdr:rowOff>
    </xdr:to>
    <xdr:pic>
      <xdr:nvPicPr>
        <xdr:cNvPr id="24" name="Graphic 23" descr="Flying Money outline">
          <a:extLst>
            <a:ext uri="{FF2B5EF4-FFF2-40B4-BE49-F238E27FC236}">
              <a16:creationId xmlns:a16="http://schemas.microsoft.com/office/drawing/2014/main" id="{F279510B-9DAC-4B06-AD87-0FB96DBFF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4230350" y="1173480"/>
          <a:ext cx="435334" cy="436245"/>
        </a:xfrm>
        <a:prstGeom prst="rect">
          <a:avLst/>
        </a:prstGeom>
      </xdr:spPr>
    </xdr:pic>
    <xdr:clientData/>
  </xdr:twoCellAnchor>
  <xdr:twoCellAnchor editAs="oneCell">
    <xdr:from>
      <xdr:col>20</xdr:col>
      <xdr:colOff>20955</xdr:colOff>
      <xdr:row>6</xdr:row>
      <xdr:rowOff>76201</xdr:rowOff>
    </xdr:from>
    <xdr:to>
      <xdr:col>20</xdr:col>
      <xdr:colOff>485775</xdr:colOff>
      <xdr:row>9</xdr:row>
      <xdr:rowOff>966</xdr:rowOff>
    </xdr:to>
    <xdr:pic>
      <xdr:nvPicPr>
        <xdr:cNvPr id="25" name="Graphic 24" descr="Dollar with solid fill">
          <a:extLst>
            <a:ext uri="{FF2B5EF4-FFF2-40B4-BE49-F238E27FC236}">
              <a16:creationId xmlns:a16="http://schemas.microsoft.com/office/drawing/2014/main" id="{3B348F8B-6E0C-4119-89E5-F7D669055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12212955" y="1162051"/>
          <a:ext cx="464820" cy="467690"/>
        </a:xfrm>
        <a:prstGeom prst="rect">
          <a:avLst/>
        </a:prstGeom>
      </xdr:spPr>
    </xdr:pic>
    <xdr:clientData/>
  </xdr:twoCellAnchor>
  <xdr:twoCellAnchor>
    <xdr:from>
      <xdr:col>0</xdr:col>
      <xdr:colOff>542925</xdr:colOff>
      <xdr:row>1</xdr:row>
      <xdr:rowOff>114300</xdr:rowOff>
    </xdr:from>
    <xdr:to>
      <xdr:col>9</xdr:col>
      <xdr:colOff>468630</xdr:colOff>
      <xdr:row>5</xdr:row>
      <xdr:rowOff>91440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3822DACA-61E6-0FF3-F068-7719EE5A98A6}"/>
            </a:ext>
          </a:extLst>
        </xdr:cNvPr>
        <xdr:cNvSpPr/>
      </xdr:nvSpPr>
      <xdr:spPr>
        <a:xfrm>
          <a:off x="542925" y="295275"/>
          <a:ext cx="5412105" cy="701040"/>
        </a:xfrm>
        <a:prstGeom prst="rect">
          <a:avLst/>
        </a:prstGeom>
        <a:solidFill>
          <a:srgbClr val="00206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3600"/>
            <a:t>Financial Dashboard</a:t>
          </a:r>
        </a:p>
      </xdr:txBody>
    </xdr:sp>
    <xdr:clientData/>
  </xdr:twoCellAnchor>
  <xdr:oneCellAnchor>
    <xdr:from>
      <xdr:col>11</xdr:col>
      <xdr:colOff>0</xdr:colOff>
      <xdr:row>1</xdr:row>
      <xdr:rowOff>38100</xdr:rowOff>
    </xdr:from>
    <xdr:ext cx="1270635" cy="405432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DADCABB-1042-4746-BE60-AE474A12D400}"/>
            </a:ext>
          </a:extLst>
        </xdr:cNvPr>
        <xdr:cNvSpPr txBox="1"/>
      </xdr:nvSpPr>
      <xdr:spPr>
        <a:xfrm>
          <a:off x="6705600" y="219075"/>
          <a:ext cx="127063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 b="1" i="1"/>
            <a:t>Income</a:t>
          </a:r>
        </a:p>
      </xdr:txBody>
    </xdr:sp>
    <xdr:clientData/>
  </xdr:oneCellAnchor>
  <xdr:oneCellAnchor>
    <xdr:from>
      <xdr:col>14</xdr:col>
      <xdr:colOff>100965</xdr:colOff>
      <xdr:row>1</xdr:row>
      <xdr:rowOff>55245</xdr:rowOff>
    </xdr:from>
    <xdr:ext cx="1270635" cy="405432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696839A-78FB-4D4A-AF54-6299BAF0C693}"/>
            </a:ext>
          </a:extLst>
        </xdr:cNvPr>
        <xdr:cNvSpPr txBox="1"/>
      </xdr:nvSpPr>
      <xdr:spPr>
        <a:xfrm>
          <a:off x="8635365" y="236220"/>
          <a:ext cx="127063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 b="1" i="1"/>
            <a:t>COGS</a:t>
          </a:r>
        </a:p>
      </xdr:txBody>
    </xdr:sp>
    <xdr:clientData/>
  </xdr:oneCellAnchor>
  <xdr:oneCellAnchor>
    <xdr:from>
      <xdr:col>17</xdr:col>
      <xdr:colOff>381000</xdr:colOff>
      <xdr:row>1</xdr:row>
      <xdr:rowOff>74295</xdr:rowOff>
    </xdr:from>
    <xdr:ext cx="1343025" cy="37414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52E670CB-CE12-4BD5-A401-43EB7A076DDB}"/>
            </a:ext>
          </a:extLst>
        </xdr:cNvPr>
        <xdr:cNvSpPr txBox="1"/>
      </xdr:nvSpPr>
      <xdr:spPr>
        <a:xfrm>
          <a:off x="10744200" y="255270"/>
          <a:ext cx="134302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800" b="1" i="1"/>
            <a:t>Gross Profit</a:t>
          </a:r>
        </a:p>
      </xdr:txBody>
    </xdr:sp>
    <xdr:clientData/>
  </xdr:oneCellAnchor>
  <xdr:oneCellAnchor>
    <xdr:from>
      <xdr:col>20</xdr:col>
      <xdr:colOff>582930</xdr:colOff>
      <xdr:row>1</xdr:row>
      <xdr:rowOff>81915</xdr:rowOff>
    </xdr:from>
    <xdr:ext cx="1270635" cy="405432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A4B4D8D-D361-46B6-B4E7-A7BF16CB9827}"/>
            </a:ext>
          </a:extLst>
        </xdr:cNvPr>
        <xdr:cNvSpPr txBox="1"/>
      </xdr:nvSpPr>
      <xdr:spPr>
        <a:xfrm>
          <a:off x="12774930" y="262890"/>
          <a:ext cx="127063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 b="1" i="1"/>
            <a:t>Taxes</a:t>
          </a:r>
        </a:p>
      </xdr:txBody>
    </xdr:sp>
    <xdr:clientData/>
  </xdr:oneCellAnchor>
  <xdr:oneCellAnchor>
    <xdr:from>
      <xdr:col>23</xdr:col>
      <xdr:colOff>571501</xdr:colOff>
      <xdr:row>1</xdr:row>
      <xdr:rowOff>97155</xdr:rowOff>
    </xdr:from>
    <xdr:ext cx="1647824" cy="311496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9F5B67D-3987-42B0-84B2-91FFBF0B98A0}"/>
            </a:ext>
          </a:extLst>
        </xdr:cNvPr>
        <xdr:cNvSpPr txBox="1"/>
      </xdr:nvSpPr>
      <xdr:spPr>
        <a:xfrm>
          <a:off x="14592301" y="278130"/>
          <a:ext cx="164782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 i="1"/>
            <a:t>Operating Expenses</a:t>
          </a:r>
        </a:p>
      </xdr:txBody>
    </xdr:sp>
    <xdr:clientData/>
  </xdr:oneCellAnchor>
  <xdr:oneCellAnchor>
    <xdr:from>
      <xdr:col>10</xdr:col>
      <xdr:colOff>579120</xdr:colOff>
      <xdr:row>6</xdr:row>
      <xdr:rowOff>95250</xdr:rowOff>
    </xdr:from>
    <xdr:ext cx="1270635" cy="405432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19FBEF0-FA93-46C8-8E49-2EA14EBECDB9}"/>
            </a:ext>
          </a:extLst>
        </xdr:cNvPr>
        <xdr:cNvSpPr txBox="1"/>
      </xdr:nvSpPr>
      <xdr:spPr>
        <a:xfrm>
          <a:off x="6675120" y="1181100"/>
          <a:ext cx="127063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 b="1" i="1"/>
            <a:t>(EBIT)</a:t>
          </a:r>
        </a:p>
      </xdr:txBody>
    </xdr:sp>
    <xdr:clientData/>
  </xdr:oneCellAnchor>
  <xdr:oneCellAnchor>
    <xdr:from>
      <xdr:col>14</xdr:col>
      <xdr:colOff>129540</xdr:colOff>
      <xdr:row>6</xdr:row>
      <xdr:rowOff>142875</xdr:rowOff>
    </xdr:from>
    <xdr:ext cx="1270635" cy="405432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6639A31-EBBC-4BBA-93ED-A68030691686}"/>
            </a:ext>
          </a:extLst>
        </xdr:cNvPr>
        <xdr:cNvSpPr txBox="1"/>
      </xdr:nvSpPr>
      <xdr:spPr>
        <a:xfrm>
          <a:off x="8663940" y="1228725"/>
          <a:ext cx="127063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 b="1" i="1"/>
            <a:t>Net Profit</a:t>
          </a:r>
        </a:p>
      </xdr:txBody>
    </xdr:sp>
    <xdr:clientData/>
  </xdr:oneCellAnchor>
  <xdr:oneCellAnchor>
    <xdr:from>
      <xdr:col>17</xdr:col>
      <xdr:colOff>302895</xdr:colOff>
      <xdr:row>6</xdr:row>
      <xdr:rowOff>114300</xdr:rowOff>
    </xdr:from>
    <xdr:ext cx="1402080" cy="37414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780B830-4884-4061-89F9-AF078E0EE9B5}"/>
            </a:ext>
          </a:extLst>
        </xdr:cNvPr>
        <xdr:cNvSpPr txBox="1"/>
      </xdr:nvSpPr>
      <xdr:spPr>
        <a:xfrm>
          <a:off x="10666095" y="1200150"/>
          <a:ext cx="140208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800" b="1" i="1"/>
            <a:t>Cash at EOM</a:t>
          </a:r>
        </a:p>
      </xdr:txBody>
    </xdr:sp>
    <xdr:clientData/>
  </xdr:oneCellAnchor>
  <xdr:oneCellAnchor>
    <xdr:from>
      <xdr:col>20</xdr:col>
      <xdr:colOff>520065</xdr:colOff>
      <xdr:row>6</xdr:row>
      <xdr:rowOff>85725</xdr:rowOff>
    </xdr:from>
    <xdr:ext cx="1270635" cy="405432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2D52745-F845-4853-8231-36C1DD6C527E}"/>
            </a:ext>
          </a:extLst>
        </xdr:cNvPr>
        <xdr:cNvSpPr txBox="1"/>
      </xdr:nvSpPr>
      <xdr:spPr>
        <a:xfrm>
          <a:off x="12712065" y="1171575"/>
          <a:ext cx="127063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 b="1" i="1"/>
            <a:t>AR</a:t>
          </a:r>
        </a:p>
      </xdr:txBody>
    </xdr:sp>
    <xdr:clientData/>
  </xdr:oneCellAnchor>
  <xdr:oneCellAnchor>
    <xdr:from>
      <xdr:col>24</xdr:col>
      <xdr:colOff>161925</xdr:colOff>
      <xdr:row>6</xdr:row>
      <xdr:rowOff>87630</xdr:rowOff>
    </xdr:from>
    <xdr:ext cx="1270635" cy="405432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BDA74FA-D811-47D9-A055-7826B3191DA6}"/>
            </a:ext>
          </a:extLst>
        </xdr:cNvPr>
        <xdr:cNvSpPr txBox="1"/>
      </xdr:nvSpPr>
      <xdr:spPr>
        <a:xfrm>
          <a:off x="14792325" y="1173480"/>
          <a:ext cx="127063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 b="1" i="1"/>
            <a:t>AP</a:t>
          </a:r>
        </a:p>
      </xdr:txBody>
    </xdr:sp>
    <xdr:clientData/>
  </xdr:oneCellAnchor>
  <xdr:twoCellAnchor editAs="oneCell">
    <xdr:from>
      <xdr:col>0</xdr:col>
      <xdr:colOff>544830</xdr:colOff>
      <xdr:row>5</xdr:row>
      <xdr:rowOff>146684</xdr:rowOff>
    </xdr:from>
    <xdr:to>
      <xdr:col>9</xdr:col>
      <xdr:colOff>481965</xdr:colOff>
      <xdr:row>10</xdr:row>
      <xdr:rowOff>150495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7" name="Date 1">
              <a:extLst>
                <a:ext uri="{FF2B5EF4-FFF2-40B4-BE49-F238E27FC236}">
                  <a16:creationId xmlns:a16="http://schemas.microsoft.com/office/drawing/2014/main" id="{2315A8A3-E227-4BBF-9B4D-61A59CA6F6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8640" y="1049654"/>
              <a:ext cx="5415915" cy="9105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  <xdr:twoCellAnchor>
    <xdr:from>
      <xdr:col>10</xdr:col>
      <xdr:colOff>36195</xdr:colOff>
      <xdr:row>11</xdr:row>
      <xdr:rowOff>97154</xdr:rowOff>
    </xdr:from>
    <xdr:to>
      <xdr:col>26</xdr:col>
      <xdr:colOff>240030</xdr:colOff>
      <xdr:row>35</xdr:row>
      <xdr:rowOff>76199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364C5807-29ED-451B-8766-B4CCC0677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548640</xdr:colOff>
      <xdr:row>11</xdr:row>
      <xdr:rowOff>114300</xdr:rowOff>
    </xdr:from>
    <xdr:to>
      <xdr:col>9</xdr:col>
      <xdr:colOff>476250</xdr:colOff>
      <xdr:row>15</xdr:row>
      <xdr:rowOff>97155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F95C2B64-24C4-4EC5-AF93-D98039EBD570}"/>
            </a:ext>
          </a:extLst>
        </xdr:cNvPr>
        <xdr:cNvSpPr/>
      </xdr:nvSpPr>
      <xdr:spPr>
        <a:xfrm>
          <a:off x="548640" y="2105025"/>
          <a:ext cx="5414010" cy="706755"/>
        </a:xfrm>
        <a:prstGeom prst="rect">
          <a:avLst/>
        </a:prstGeom>
        <a:solidFill>
          <a:srgbClr val="00206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Net Profit</a:t>
          </a:r>
          <a:r>
            <a:rPr lang="en-US" sz="1600" b="1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600" b="1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Margine</a:t>
          </a:r>
          <a:endParaRPr lang="en-US" sz="1600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</xdr:col>
      <xdr:colOff>350520</xdr:colOff>
      <xdr:row>16</xdr:row>
      <xdr:rowOff>104775</xdr:rowOff>
    </xdr:from>
    <xdr:to>
      <xdr:col>9</xdr:col>
      <xdr:colOff>49530</xdr:colOff>
      <xdr:row>31</xdr:row>
      <xdr:rowOff>131445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A5208A7C-E3DD-41B7-A32C-D6C4266F44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392431</xdr:colOff>
      <xdr:row>22</xdr:row>
      <xdr:rowOff>144780</xdr:rowOff>
    </xdr:from>
    <xdr:to>
      <xdr:col>6</xdr:col>
      <xdr:colOff>55246</xdr:colOff>
      <xdr:row>24</xdr:row>
      <xdr:rowOff>87630</xdr:rowOff>
    </xdr:to>
    <xdr:sp macro="" textlink="Pivot!N10">
      <xdr:nvSpPr>
        <xdr:cNvPr id="44" name="Rectangle: Rounded Corners 43">
          <a:extLst>
            <a:ext uri="{FF2B5EF4-FFF2-40B4-BE49-F238E27FC236}">
              <a16:creationId xmlns:a16="http://schemas.microsoft.com/office/drawing/2014/main" id="{3DB0E2D3-37A3-48C8-AD53-35B3E1A82590}"/>
            </a:ext>
          </a:extLst>
        </xdr:cNvPr>
        <xdr:cNvSpPr/>
      </xdr:nvSpPr>
      <xdr:spPr>
        <a:xfrm>
          <a:off x="2830831" y="4126230"/>
          <a:ext cx="882015" cy="3048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7284A35D-7381-4B0E-98CF-8B81289AD546}" type="TxLink">
            <a:rPr lang="en-US" sz="2000" b="1" i="1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16%</a:t>
          </a:fld>
          <a:endParaRPr lang="en-US" sz="2000" b="1" i="1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jan Tesic" refreshedDate="45934.442456481484" createdVersion="8" refreshedVersion="8" minRefreshableVersion="3" recordCount="36" xr:uid="{BD27A14C-ABCA-4BD5-9318-04F0FD39DCA8}">
  <cacheSource type="worksheet">
    <worksheetSource ref="A1:Y1048576" sheet="KPI_Monthly"/>
  </cacheSource>
  <cacheFields count="28">
    <cacheField name="Date" numFmtId="0">
      <sharedItems containsNonDate="0" containsDate="1" containsString="0" containsBlank="1" minDate="2025-01-01T00:00:00" maxDate="2025-12-02T00:00:00" count="13"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m/>
      </sharedItems>
      <fieldGroup par="26"/>
    </cacheField>
    <cacheField name="MonthName" numFmtId="0">
      <sharedItems containsBlank="1" count="13">
        <s v="Jan"/>
        <s v="Feb"/>
        <s v="Mar"/>
        <s v="Apr"/>
        <s v="May"/>
        <s v="Jun"/>
        <s v="Jul"/>
        <s v="Aug"/>
        <s v="Sep"/>
        <s v="Oct"/>
        <s v="Nov"/>
        <s v="Dec"/>
        <m/>
      </sharedItems>
    </cacheField>
    <cacheField name="Income" numFmtId="0">
      <sharedItems containsString="0" containsBlank="1" containsNumber="1" containsInteger="1" minValue="189871" maxValue="253161"/>
    </cacheField>
    <cacheField name="COGS" numFmtId="0">
      <sharedItems containsString="0" containsBlank="1" containsNumber="1" minValue="91638.16" maxValue="128701.11"/>
    </cacheField>
    <cacheField name="Gross Profit" numFmtId="0">
      <sharedItems containsString="0" containsBlank="1" containsNumber="1" minValue="93096.320000000007" maxValue="125314.75"/>
    </cacheField>
    <cacheField name="Total Operating Expenses" numFmtId="0">
      <sharedItems containsString="0" containsBlank="1" containsNumber="1" minValue="48522.5" maxValue="76288.33"/>
    </cacheField>
    <cacheField name="Operating Profit (EBIT)" numFmtId="0">
      <sharedItems containsString="0" containsBlank="1" containsNumber="1" minValue="24523.990000000009" maxValue="54195.86"/>
    </cacheField>
    <cacheField name="Taxes" numFmtId="0">
      <sharedItems containsString="0" containsBlank="1" containsNumber="1" minValue="2458.0300000000002" maxValue="7212.1"/>
    </cacheField>
    <cacheField name="Net Profit" numFmtId="0">
      <sharedItems containsString="0" containsBlank="1" containsNumber="1" minValue="22065.96000000001" maxValue="48303.71"/>
    </cacheField>
    <cacheField name="Net Profit Margin %" numFmtId="0">
      <sharedItems containsString="0" containsBlank="1" containsNumber="1" minValue="10.15" maxValue="21.6"/>
    </cacheField>
    <cacheField name="% of Income Budget" numFmtId="0">
      <sharedItems containsString="0" containsBlank="1" containsNumber="1" minValue="95.25" maxValue="99.88"/>
    </cacheField>
    <cacheField name="% of Expenses Budget" numFmtId="0">
      <sharedItems containsString="0" containsBlank="1" containsNumber="1" minValue="98.24" maxValue="103.81"/>
    </cacheField>
    <cacheField name="Accounts Receivable" numFmtId="0">
      <sharedItems containsString="0" containsBlank="1" containsNumber="1" minValue="34176.78" maxValue="56910.61"/>
    </cacheField>
    <cacheField name="Accounts Payable" numFmtId="0">
      <sharedItems containsString="0" containsBlank="1" containsNumber="1" minValue="36107.33" maxValue="53596.78"/>
    </cacheField>
    <cacheField name="Cash at EOM" numFmtId="0">
      <sharedItems containsString="0" containsBlank="1" containsNumber="1" minValue="115742.31" maxValue="505335.97"/>
    </cacheField>
    <cacheField name="Quick Ratio" numFmtId="0">
      <sharedItems containsString="0" containsBlank="1" containsNumber="1" minValue="3.86" maxValue="9.4600000000000009"/>
    </cacheField>
    <cacheField name="Current Ratio" numFmtId="0">
      <sharedItems containsString="0" containsBlank="1" containsNumber="1" minValue="4.09" maxValue="9.67"/>
    </cacheField>
    <cacheField name="Income MoM %" numFmtId="0">
      <sharedItems containsString="0" containsBlank="1" containsNumber="1" minValue="-7.62" maxValue="10.87"/>
    </cacheField>
    <cacheField name="Expenses MoM %" numFmtId="0">
      <sharedItems containsString="0" containsBlank="1" containsNumber="1" minValue="-12" maxValue="18.309999999999999"/>
    </cacheField>
    <cacheField name="Net Profit MoM %" numFmtId="0">
      <sharedItems containsString="0" containsBlank="1" containsNumber="1" minValue="-35.47" maxValue="56.95"/>
    </cacheField>
    <cacheField name="Cash MoM %" numFmtId="0">
      <sharedItems containsString="0" containsBlank="1" containsNumber="1" minValue="0" maxValue="26.93"/>
    </cacheField>
    <cacheField name="AR MoM %" numFmtId="0">
      <sharedItems containsString="0" containsBlank="1" containsNumber="1" minValue="-5.71" maxValue="28.89"/>
    </cacheField>
    <cacheField name="AP MoM %" numFmtId="0">
      <sharedItems containsString="0" containsBlank="1" containsNumber="1" minValue="-11.98" maxValue="15.21"/>
    </cacheField>
    <cacheField name="Quick Ratio MoM %" numFmtId="0">
      <sharedItems containsString="0" containsBlank="1" containsNumber="1" minValue="-0.22" maxValue="22.31"/>
    </cacheField>
    <cacheField name="Current Ratio MoM %" numFmtId="0">
      <sharedItems containsString="0" containsBlank="1" containsNumber="1" minValue="-0.33" maxValue="21.98"/>
    </cacheField>
    <cacheField name="Days (Date)" numFmtId="0" databaseField="0">
      <fieldGroup base="0">
        <rangePr groupBy="days" startDate="2025-01-01T00:00:00" endDate="2025-12-02T00:00:00"/>
        <groupItems count="368">
          <s v="&lt;1.1.2025"/>
          <s v="1.jan"/>
          <s v="2.jan"/>
          <s v="3.jan"/>
          <s v="4.jan"/>
          <s v="5.jan"/>
          <s v="6.jan"/>
          <s v="7.jan"/>
          <s v="8.jan"/>
          <s v="9.jan"/>
          <s v="10.jan"/>
          <s v="11.jan"/>
          <s v="12.jan"/>
          <s v="13.jan"/>
          <s v="14.jan"/>
          <s v="15.jan"/>
          <s v="16.jan"/>
          <s v="17.jan"/>
          <s v="18.jan"/>
          <s v="19.jan"/>
          <s v="20.jan"/>
          <s v="21.jan"/>
          <s v="22.jan"/>
          <s v="23.jan"/>
          <s v="24.jan"/>
          <s v="25.jan"/>
          <s v="26.jan"/>
          <s v="27.jan"/>
          <s v="28.jan"/>
          <s v="29.jan"/>
          <s v="30.jan"/>
          <s v="31.jan"/>
          <s v="1.feb"/>
          <s v="2.feb"/>
          <s v="3.feb"/>
          <s v="4.feb"/>
          <s v="5.feb"/>
          <s v="6.feb"/>
          <s v="7.feb"/>
          <s v="8.feb"/>
          <s v="9.feb"/>
          <s v="10.feb"/>
          <s v="11.feb"/>
          <s v="12.feb"/>
          <s v="13.feb"/>
          <s v="14.feb"/>
          <s v="15.feb"/>
          <s v="16.feb"/>
          <s v="17.feb"/>
          <s v="18.feb"/>
          <s v="19.feb"/>
          <s v="20.feb"/>
          <s v="21.feb"/>
          <s v="22.feb"/>
          <s v="23.feb"/>
          <s v="24.feb"/>
          <s v="25.feb"/>
          <s v="26.feb"/>
          <s v="27.feb"/>
          <s v="28.feb"/>
          <s v="29.feb"/>
          <s v="1.mar"/>
          <s v="2.mar"/>
          <s v="3.mar"/>
          <s v="4.mar"/>
          <s v="5.mar"/>
          <s v="6.mar"/>
          <s v="7.mar"/>
          <s v="8.mar"/>
          <s v="9.mar"/>
          <s v="10.mar"/>
          <s v="11.mar"/>
          <s v="12.mar"/>
          <s v="13.mar"/>
          <s v="14.mar"/>
          <s v="15.mar"/>
          <s v="16.mar"/>
          <s v="17.mar"/>
          <s v="18.mar"/>
          <s v="19.mar"/>
          <s v="20.mar"/>
          <s v="21.mar"/>
          <s v="22.mar"/>
          <s v="23.mar"/>
          <s v="24.mar"/>
          <s v="25.mar"/>
          <s v="26.mar"/>
          <s v="27.mar"/>
          <s v="28.mar"/>
          <s v="29.mar"/>
          <s v="30.mar"/>
          <s v="31.mar"/>
          <s v="1.apr"/>
          <s v="2.apr"/>
          <s v="3.apr"/>
          <s v="4.apr"/>
          <s v="5.apr"/>
          <s v="6.apr"/>
          <s v="7.apr"/>
          <s v="8.apr"/>
          <s v="9.apr"/>
          <s v="10.apr"/>
          <s v="11.apr"/>
          <s v="12.apr"/>
          <s v="13.apr"/>
          <s v="14.apr"/>
          <s v="15.apr"/>
          <s v="16.apr"/>
          <s v="17.apr"/>
          <s v="18.apr"/>
          <s v="19.apr"/>
          <s v="20.apr"/>
          <s v="21.apr"/>
          <s v="22.apr"/>
          <s v="23.apr"/>
          <s v="24.apr"/>
          <s v="25.apr"/>
          <s v="26.apr"/>
          <s v="27.apr"/>
          <s v="28.apr"/>
          <s v="29.apr"/>
          <s v="30.apr"/>
          <s v="1.maj"/>
          <s v="2.maj"/>
          <s v="3.maj"/>
          <s v="4.maj"/>
          <s v="5.maj"/>
          <s v="6.maj"/>
          <s v="7.maj"/>
          <s v="8.maj"/>
          <s v="9.maj"/>
          <s v="10.maj"/>
          <s v="11.maj"/>
          <s v="12.maj"/>
          <s v="13.maj"/>
          <s v="14.maj"/>
          <s v="15.maj"/>
          <s v="16.maj"/>
          <s v="17.maj"/>
          <s v="18.maj"/>
          <s v="19.maj"/>
          <s v="20.maj"/>
          <s v="21.maj"/>
          <s v="22.maj"/>
          <s v="23.maj"/>
          <s v="24.maj"/>
          <s v="25.maj"/>
          <s v="26.maj"/>
          <s v="27.maj"/>
          <s v="28.maj"/>
          <s v="29.maj"/>
          <s v="30.maj"/>
          <s v="31.maj"/>
          <s v="1.jun"/>
          <s v="2.jun"/>
          <s v="3.jun"/>
          <s v="4.jun"/>
          <s v="5.jun"/>
          <s v="6.jun"/>
          <s v="7.jun"/>
          <s v="8.jun"/>
          <s v="9.jun"/>
          <s v="10.jun"/>
          <s v="11.jun"/>
          <s v="12.jun"/>
          <s v="13.jun"/>
          <s v="14.jun"/>
          <s v="15.jun"/>
          <s v="16.jun"/>
          <s v="17.jun"/>
          <s v="18.jun"/>
          <s v="19.jun"/>
          <s v="20.jun"/>
          <s v="21.jun"/>
          <s v="22.jun"/>
          <s v="23.jun"/>
          <s v="24.jun"/>
          <s v="25.jun"/>
          <s v="26.jun"/>
          <s v="27.jun"/>
          <s v="28.jun"/>
          <s v="29.jun"/>
          <s v="30.jun"/>
          <s v="1.jul"/>
          <s v="2.jul"/>
          <s v="3.jul"/>
          <s v="4.jul"/>
          <s v="5.jul"/>
          <s v="6.jul"/>
          <s v="7.jul"/>
          <s v="8.jul"/>
          <s v="9.jul"/>
          <s v="10.jul"/>
          <s v="11.jul"/>
          <s v="12.jul"/>
          <s v="13.jul"/>
          <s v="14.jul"/>
          <s v="15.jul"/>
          <s v="16.jul"/>
          <s v="17.jul"/>
          <s v="18.jul"/>
          <s v="19.jul"/>
          <s v="20.jul"/>
          <s v="21.jul"/>
          <s v="22.jul"/>
          <s v="23.jul"/>
          <s v="24.jul"/>
          <s v="25.jul"/>
          <s v="26.jul"/>
          <s v="27.jul"/>
          <s v="28.jul"/>
          <s v="29.jul"/>
          <s v="30.jul"/>
          <s v="31.jul"/>
          <s v="1.avg"/>
          <s v="2.avg"/>
          <s v="3.avg"/>
          <s v="4.avg"/>
          <s v="5.avg"/>
          <s v="6.avg"/>
          <s v="7.avg"/>
          <s v="8.avg"/>
          <s v="9.avg"/>
          <s v="10.avg"/>
          <s v="11.avg"/>
          <s v="12.avg"/>
          <s v="13.avg"/>
          <s v="14.avg"/>
          <s v="15.avg"/>
          <s v="16.avg"/>
          <s v="17.avg"/>
          <s v="18.avg"/>
          <s v="19.avg"/>
          <s v="20.avg"/>
          <s v="21.avg"/>
          <s v="22.avg"/>
          <s v="23.avg"/>
          <s v="24.avg"/>
          <s v="25.avg"/>
          <s v="26.avg"/>
          <s v="27.avg"/>
          <s v="28.avg"/>
          <s v="29.avg"/>
          <s v="30.avg"/>
          <s v="31.avg"/>
          <s v="1.sep"/>
          <s v="2.sep"/>
          <s v="3.sep"/>
          <s v="4.sep"/>
          <s v="5.sep"/>
          <s v="6.sep"/>
          <s v="7.sep"/>
          <s v="8.sep"/>
          <s v="9.sep"/>
          <s v="10.sep"/>
          <s v="11.sep"/>
          <s v="12.sep"/>
          <s v="13.sep"/>
          <s v="14.sep"/>
          <s v="15.sep"/>
          <s v="16.sep"/>
          <s v="17.sep"/>
          <s v="18.sep"/>
          <s v="19.sep"/>
          <s v="20.sep"/>
          <s v="21.sep"/>
          <s v="22.sep"/>
          <s v="23.sep"/>
          <s v="24.sep"/>
          <s v="25.sep"/>
          <s v="26.sep"/>
          <s v="27.sep"/>
          <s v="28.sep"/>
          <s v="29.sep"/>
          <s v="30.sep"/>
          <s v="1.okt"/>
          <s v="2.okt"/>
          <s v="3.okt"/>
          <s v="4.okt"/>
          <s v="5.okt"/>
          <s v="6.okt"/>
          <s v="7.okt"/>
          <s v="8.okt"/>
          <s v="9.okt"/>
          <s v="10.okt"/>
          <s v="11.okt"/>
          <s v="12.okt"/>
          <s v="13.okt"/>
          <s v="14.okt"/>
          <s v="15.okt"/>
          <s v="16.okt"/>
          <s v="17.okt"/>
          <s v="18.okt"/>
          <s v="19.okt"/>
          <s v="20.okt"/>
          <s v="21.okt"/>
          <s v="22.okt"/>
          <s v="23.okt"/>
          <s v="24.okt"/>
          <s v="25.okt"/>
          <s v="26.okt"/>
          <s v="27.okt"/>
          <s v="28.okt"/>
          <s v="29.okt"/>
          <s v="30.okt"/>
          <s v="31.okt"/>
          <s v="1.nov"/>
          <s v="2.nov"/>
          <s v="3.nov"/>
          <s v="4.nov"/>
          <s v="5.nov"/>
          <s v="6.nov"/>
          <s v="7.nov"/>
          <s v="8.nov"/>
          <s v="9.nov"/>
          <s v="10.nov"/>
          <s v="11.nov"/>
          <s v="12.nov"/>
          <s v="13.nov"/>
          <s v="14.nov"/>
          <s v="15.nov"/>
          <s v="16.nov"/>
          <s v="17.nov"/>
          <s v="18.nov"/>
          <s v="19.nov"/>
          <s v="20.nov"/>
          <s v="21.nov"/>
          <s v="22.nov"/>
          <s v="23.nov"/>
          <s v="24.nov"/>
          <s v="25.nov"/>
          <s v="26.nov"/>
          <s v="27.nov"/>
          <s v="28.nov"/>
          <s v="29.nov"/>
          <s v="30.nov"/>
          <s v="1.dec"/>
          <s v="2.dec"/>
          <s v="3.dec"/>
          <s v="4.dec"/>
          <s v="5.dec"/>
          <s v="6.dec"/>
          <s v="7.dec"/>
          <s v="8.dec"/>
          <s v="9.dec"/>
          <s v="10.dec"/>
          <s v="11.dec"/>
          <s v="12.dec"/>
          <s v="13.dec"/>
          <s v="14.dec"/>
          <s v="15.dec"/>
          <s v="16.dec"/>
          <s v="17.dec"/>
          <s v="18.dec"/>
          <s v="19.dec"/>
          <s v="20.dec"/>
          <s v="21.dec"/>
          <s v="22.dec"/>
          <s v="23.dec"/>
          <s v="24.dec"/>
          <s v="25.dec"/>
          <s v="26.dec"/>
          <s v="27.dec"/>
          <s v="28.dec"/>
          <s v="29.dec"/>
          <s v="30.dec"/>
          <s v="31.dec"/>
          <s v="&gt;2.12.2025"/>
        </groupItems>
      </fieldGroup>
    </cacheField>
    <cacheField name="Months (Date)" numFmtId="0" databaseField="0">
      <fieldGroup base="0">
        <rangePr groupBy="months" startDate="2025-01-01T00:00:00" endDate="2025-12-02T00:00:00"/>
        <groupItems count="14">
          <s v="&lt;1.1.2025"/>
          <s v="jan"/>
          <s v="feb"/>
          <s v="mar"/>
          <s v="apr"/>
          <s v="maj"/>
          <s v="jun"/>
          <s v="jul"/>
          <s v="avg"/>
          <s v="sep"/>
          <s v="okt"/>
          <s v="nov"/>
          <s v="dec"/>
          <s v="&gt;2.12.2025"/>
        </groupItems>
      </fieldGroup>
    </cacheField>
    <cacheField name="Net %" numFmtId="0" formula="'Net Profit'/Income" databaseField="0"/>
  </cacheFields>
  <extLst>
    <ext xmlns:x14="http://schemas.microsoft.com/office/spreadsheetml/2009/9/main" uri="{725AE2AE-9491-48be-B2B4-4EB974FC3084}">
      <x14:pivotCacheDefinition pivotCacheId="38054231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  <x v="0"/>
    <n v="189871"/>
    <n v="91638.16"/>
    <n v="98232.84"/>
    <n v="72486.070000000007"/>
    <n v="25746.76999999999"/>
    <n v="2771.19"/>
    <n v="22975.579999999991"/>
    <n v="12.1"/>
    <n v="95.89"/>
    <n v="98.94"/>
    <n v="34176.78"/>
    <n v="36107.33"/>
    <n v="115742.31"/>
    <n v="3.86"/>
    <n v="4.09"/>
    <n v="0"/>
    <n v="0"/>
    <n v="0"/>
    <n v="0"/>
    <n v="0"/>
    <n v="0"/>
    <n v="0"/>
    <n v="0"/>
  </r>
  <r>
    <x v="1"/>
    <x v="1"/>
    <n v="194090"/>
    <n v="98010.79"/>
    <n v="96079.21"/>
    <n v="53777.46"/>
    <n v="42301.750000000007"/>
    <n v="6241.15"/>
    <n v="36060.600000000013"/>
    <n v="18.579999999999998"/>
    <n v="99.6"/>
    <n v="102.02"/>
    <n v="44050.01"/>
    <n v="41599.629999999997"/>
    <n v="146912.17000000001"/>
    <n v="3.99"/>
    <n v="4.1900000000000004"/>
    <n v="2.2200000000000002"/>
    <n v="-5.31"/>
    <n v="56.95"/>
    <n v="26.93"/>
    <n v="28.89"/>
    <n v="15.21"/>
    <n v="3.37"/>
    <n v="2.44"/>
  </r>
  <r>
    <x v="2"/>
    <x v="2"/>
    <n v="206748"/>
    <n v="113651.68"/>
    <n v="93096.320000000007"/>
    <n v="59591.199999999997"/>
    <n v="33505.12000000001"/>
    <n v="4497.93"/>
    <n v="29007.19000000001"/>
    <n v="14.03"/>
    <n v="95.25"/>
    <n v="101.16"/>
    <n v="46530.96"/>
    <n v="45702.85"/>
    <n v="176352.15"/>
    <n v="4.4400000000000004"/>
    <n v="4.66"/>
    <n v="6.52"/>
    <n v="12.47"/>
    <n v="-19.559999999999999"/>
    <n v="20.04"/>
    <n v="5.63"/>
    <n v="9.86"/>
    <n v="11.28"/>
    <n v="11.22"/>
  </r>
  <r>
    <x v="3"/>
    <x v="3"/>
    <n v="210968"/>
    <n v="111863.67"/>
    <n v="99104.33"/>
    <n v="58417.7"/>
    <n v="40686.629999999997"/>
    <n v="6493.91"/>
    <n v="34192.720000000001"/>
    <n v="16.21"/>
    <n v="96.01"/>
    <n v="101.74"/>
    <n v="47898.14"/>
    <n v="46124.05"/>
    <n v="209598.54"/>
    <n v="4.8899999999999997"/>
    <n v="5.0999999999999996"/>
    <n v="2.04"/>
    <n v="-0.54"/>
    <n v="17.88"/>
    <n v="18.850000000000001"/>
    <n v="2.94"/>
    <n v="0.92"/>
    <n v="10.14"/>
    <n v="9.44"/>
  </r>
  <r>
    <x v="4"/>
    <x v="4"/>
    <n v="217297"/>
    <n v="123193.9"/>
    <n v="94103.1"/>
    <n v="69579.11"/>
    <n v="24523.990000000009"/>
    <n v="2458.0300000000002"/>
    <n v="22065.96000000001"/>
    <n v="10.15"/>
    <n v="99.88"/>
    <n v="101.84"/>
    <n v="49239.92"/>
    <n v="50924.13"/>
    <n v="234287.76"/>
    <n v="5.31"/>
    <n v="5.53"/>
    <n v="3"/>
    <n v="10.44"/>
    <n v="-35.47"/>
    <n v="11.78"/>
    <n v="2.8"/>
    <n v="10.41"/>
    <n v="8.59"/>
    <n v="8.43"/>
  </r>
  <r>
    <x v="5"/>
    <x v="5"/>
    <n v="221516"/>
    <n v="107356.99"/>
    <n v="114159.01"/>
    <n v="76288.33"/>
    <n v="37870.679999999993"/>
    <n v="4700.41"/>
    <n v="33170.26999999999"/>
    <n v="14.97"/>
    <n v="98.76"/>
    <n v="103.81"/>
    <n v="50303.14"/>
    <n v="50040.62"/>
    <n v="266463.61"/>
    <n v="5.79"/>
    <n v="5.98"/>
    <n v="1.94"/>
    <n v="-3.53"/>
    <n v="50.32"/>
    <n v="13.73"/>
    <n v="2.16"/>
    <n v="-1.73"/>
    <n v="9.0399999999999991"/>
    <n v="8.14"/>
  </r>
  <r>
    <x v="6"/>
    <x v="6"/>
    <n v="204639"/>
    <n v="95599.93"/>
    <n v="109039.07"/>
    <n v="71590.33"/>
    <n v="37448.740000000013"/>
    <n v="5709.66"/>
    <n v="31739.080000000009"/>
    <n v="15.51"/>
    <n v="98.94"/>
    <n v="102.58"/>
    <n v="47467.79"/>
    <n v="45964.12"/>
    <n v="297735.65000000002"/>
    <n v="6.68"/>
    <n v="6.87"/>
    <n v="-7.62"/>
    <n v="-8.1999999999999993"/>
    <n v="-4.3099999999999996"/>
    <n v="11.74"/>
    <n v="-5.64"/>
    <n v="-8.15"/>
    <n v="15.37"/>
    <n v="14.88"/>
  </r>
  <r>
    <x v="7"/>
    <x v="7"/>
    <n v="194090"/>
    <n v="97373.22"/>
    <n v="96716.78"/>
    <n v="48522.5"/>
    <n v="48194.28"/>
    <n v="6261.17"/>
    <n v="41933.11"/>
    <n v="21.6"/>
    <n v="98.93"/>
    <n v="102.63"/>
    <n v="44758.87"/>
    <n v="40456.57"/>
    <n v="336806.38"/>
    <n v="8.17"/>
    <n v="8.3800000000000008"/>
    <n v="-5.15"/>
    <n v="-12"/>
    <n v="32.119999999999997"/>
    <n v="13.12"/>
    <n v="-5.71"/>
    <n v="-11.98"/>
    <n v="22.31"/>
    <n v="21.98"/>
  </r>
  <r>
    <x v="8"/>
    <x v="8"/>
    <n v="215187"/>
    <n v="117680.54"/>
    <n v="97506.46"/>
    <n v="56442.28"/>
    <n v="41064.180000000008"/>
    <n v="5887.54"/>
    <n v="35176.640000000007"/>
    <n v="16.350000000000001"/>
    <n v="95.97"/>
    <n v="98.24"/>
    <n v="48049.98"/>
    <n v="45601.81"/>
    <n v="372561.62"/>
    <n v="8.17"/>
    <n v="8.39"/>
    <n v="10.87"/>
    <n v="18.309999999999999"/>
    <n v="-16.11"/>
    <n v="10.62"/>
    <n v="7.35"/>
    <n v="12.72"/>
    <n v="0"/>
    <n v="0.12"/>
  </r>
  <r>
    <x v="9"/>
    <x v="9"/>
    <n v="227845"/>
    <n v="102530.25"/>
    <n v="125314.75"/>
    <n v="71118.89"/>
    <n v="54195.86"/>
    <n v="5892.15"/>
    <n v="48303.71"/>
    <n v="21.2"/>
    <n v="96.34"/>
    <n v="98.54"/>
    <n v="51341.08"/>
    <n v="46908.95"/>
    <n v="419805.32"/>
    <n v="8.92"/>
    <n v="9.1199999999999992"/>
    <n v="5.88"/>
    <n v="-0.26"/>
    <n v="37.32"/>
    <n v="12.68"/>
    <n v="6.85"/>
    <n v="2.87"/>
    <n v="9.18"/>
    <n v="8.6999999999999993"/>
  </r>
  <r>
    <x v="10"/>
    <x v="10"/>
    <n v="236284"/>
    <n v="114557.96"/>
    <n v="121726.04"/>
    <n v="75289.81"/>
    <n v="46436.23"/>
    <n v="7212.1"/>
    <n v="39224.129999999997"/>
    <n v="16.600000000000001"/>
    <n v="99.36"/>
    <n v="99.36"/>
    <n v="53467.68"/>
    <n v="50448.97"/>
    <n v="459689.69"/>
    <n v="8.9"/>
    <n v="9.09"/>
    <n v="3.7"/>
    <n v="9.76"/>
    <n v="-18.8"/>
    <n v="9.5"/>
    <n v="4.1399999999999997"/>
    <n v="7.55"/>
    <n v="-0.22"/>
    <n v="-0.33"/>
  </r>
  <r>
    <x v="11"/>
    <x v="11"/>
    <n v="253161"/>
    <n v="128701.11"/>
    <n v="124459.89"/>
    <n v="71773.41"/>
    <n v="52686.48"/>
    <n v="5823.08"/>
    <n v="46863.399999999987"/>
    <n v="18.510000000000002"/>
    <n v="99.79"/>
    <n v="99.69"/>
    <n v="56910.61"/>
    <n v="53596.78"/>
    <n v="505335.97"/>
    <n v="9.4600000000000009"/>
    <n v="9.67"/>
    <n v="7.14"/>
    <n v="4.6900000000000004"/>
    <n v="19.48"/>
    <n v="9.93"/>
    <n v="6.44"/>
    <n v="6.24"/>
    <n v="6.29"/>
    <n v="6.38"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7DBA83-523C-4C0B-A262-0F7E25E34E61}" name="PivotTable4" cacheId="0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J1:J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Gross Prof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65B80F-62EC-408A-AF78-4DBCAA1E2253}" name="PivotTable10" cacheId="0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AB1:AB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Accounts Receivable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42CC4E-603D-492E-9A22-9721525A90FC}" name="PivotTable1" cacheId="0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A1:A15" firstHeaderRow="1" firstDataRow="1" firstDataCol="1"/>
  <pivotFields count="28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Fields count="3">
    <field x="26"/>
    <field x="25"/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343850-622C-41AE-91E1-634A1C2D2109}" name="PivotTable3" cacheId="0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G1:G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COG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D79AF0-528B-4AA0-AA32-1DFB47E011EB}" name="PivotTable6" cacheId="0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P1:P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Total Operating Expense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E5240C-088B-4429-A006-E551124A6290}" name="PivotTable8" cacheId="0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V1:V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Net Profi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33937A-73B1-4ACE-B4E3-603506C709EA}" name="PivotTable12" cacheId="0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 chartFormat="7">
  <location ref="A31:C44" firstHeaderRow="0" firstDataRow="1" firstDataCol="1"/>
  <pivotFields count="28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Fields count="3">
    <field x="26"/>
    <field x="25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Income" fld="2" baseField="0" baseItem="0"/>
    <dataField name="Sum of Gross Profit" fld="4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0FB3C0-D9ED-4AC0-B74D-C78B57AE3E93}" name="PivotTable9" cacheId="0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Y1:Y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Cash at EOM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E01FBE-3385-4531-943E-1ED3DB5A5490}" name="PivotTable2" cacheId="0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D1:D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Incom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08ACB1-2CA4-4019-AB43-B2782D2A92FA}" name="PivotTable14" cacheId="0" dataOnRows="1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 chartFormat="14">
  <location ref="M9:M10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Average of Net Profit Margin %" fld="9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0B8A5A-956A-48DA-8625-3F12B908DDD3}" name="PivotTable11" cacheId="0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AE1:AE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Accounts Payable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483364-DEA4-4CF8-8B27-703EE8C436D3}" name="PivotTable5" cacheId="0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M1:M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Taxe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6A10A-889A-48AB-B4F7-7E081FFB5B6A}" name="PivotTable7" cacheId="0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S1:S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Operating Profit (EBIT)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025A41-7C98-4238-B989-D64589B966EE}" name="PivotTable13" cacheId="0" dataOnRows="1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 chartFormat="14">
  <location ref="C9:D11" firstHeaderRow="1" firstDataRow="1" firstDataCol="1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Fields count="1">
    <field x="-2"/>
  </rowFields>
  <rowItems count="2">
    <i>
      <x/>
    </i>
    <i i="1">
      <x v="1"/>
    </i>
  </rowItems>
  <colItems count="1">
    <i/>
  </colItems>
  <dataFields count="2">
    <dataField name="Sum of Net Profit" fld="8" baseField="0" baseItem="0"/>
    <dataField name="Sum of Income" fld="2" baseField="0" baseItem="0"/>
  </dataFields>
  <chartFormats count="7"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7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8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3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e" xr10:uid="{DE1A7181-D898-4585-AC37-DB22B549E8BF}" sourceName="Date">
  <pivotTables>
    <pivotTable tabId="12" name="PivotTable1"/>
    <pivotTable tabId="12" name="PivotTable2"/>
    <pivotTable tabId="12" name="PivotTable3"/>
    <pivotTable tabId="12" name="PivotTable4"/>
    <pivotTable tabId="12" name="PivotTable5"/>
    <pivotTable tabId="12" name="PivotTable6"/>
    <pivotTable tabId="12" name="PivotTable7"/>
    <pivotTable tabId="12" name="PivotTable8"/>
    <pivotTable tabId="12" name="PivotTable9"/>
    <pivotTable tabId="12" name="PivotTable10"/>
    <pivotTable tabId="12" name="PivotTable11"/>
    <pivotTable tabId="12" name="PivotTable12"/>
    <pivotTable tabId="12" name="PivotTable13"/>
    <pivotTable tabId="12" name="PivotTable14"/>
  </pivotTables>
  <state minimalRefreshVersion="6" lastRefreshVersion="6" pivotCacheId="380542319" filterType="unknown">
    <bounds startDate="2025-01-01T00:00:00" endDate="202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" xr10:uid="{23001B8A-F3D3-4BBF-A030-83C4F8D7159A}" cache="NativeTimeline_Date" caption="Date" showSelectionLabel="0" showTimeLevel="0" showHorizontalScrollbar="0" level="2" selectionLevel="2" scrollPosition="2025-01-01T00:00:00"/>
</timelines>
</file>

<file path=xl/timelines/timeline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1" xr10:uid="{979110CF-78DF-4026-B2E5-2EC804D78247}" cache="NativeTimeline_Date" caption="Date" showSelectionLabel="0" showTimeLevel="0" showHorizontalScrollbar="0" level="2" selectionLevel="2" scrollPosition="2025-01-01T00:00:00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6" Type="http://schemas.microsoft.com/office/2011/relationships/timeline" Target="../timelines/timeline1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drawing" Target="../drawings/drawing2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1/relationships/timeline" Target="../timelines/timelin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7D962-A6A8-4333-A38D-EC3AE8F4CB00}">
  <sheetPr codeName="Sheet3"/>
  <dimension ref="A1:Y13"/>
  <sheetViews>
    <sheetView workbookViewId="0">
      <selection activeCell="J1" sqref="J1"/>
    </sheetView>
  </sheetViews>
  <sheetFormatPr defaultRowHeight="14.4" x14ac:dyDescent="0.3"/>
  <cols>
    <col min="1" max="1" width="9.109375" bestFit="1" customWidth="1"/>
    <col min="2" max="2" width="11.88671875" bestFit="1" customWidth="1"/>
    <col min="3" max="4" width="10" bestFit="1" customWidth="1"/>
    <col min="5" max="5" width="11.109375" bestFit="1" customWidth="1"/>
    <col min="6" max="6" width="23.21875" bestFit="1" customWidth="1"/>
    <col min="7" max="7" width="20.5546875" bestFit="1" customWidth="1"/>
    <col min="8" max="8" width="8" bestFit="1" customWidth="1"/>
    <col min="9" max="9" width="9.44140625" bestFit="1" customWidth="1"/>
    <col min="10" max="10" width="18.21875" bestFit="1" customWidth="1"/>
    <col min="11" max="11" width="18.33203125" bestFit="1" customWidth="1"/>
    <col min="12" max="12" width="20" bestFit="1" customWidth="1"/>
    <col min="13" max="13" width="18.88671875" bestFit="1" customWidth="1"/>
    <col min="14" max="14" width="16.109375" bestFit="1" customWidth="1"/>
    <col min="15" max="15" width="11.6640625" bestFit="1" customWidth="1"/>
    <col min="16" max="16" width="10.6640625" bestFit="1" customWidth="1"/>
    <col min="17" max="17" width="12.33203125" bestFit="1" customWidth="1"/>
    <col min="18" max="18" width="14.5546875" bestFit="1" customWidth="1"/>
    <col min="19" max="19" width="16.21875" bestFit="1" customWidth="1"/>
    <col min="20" max="20" width="16.77734375" bestFit="1" customWidth="1"/>
    <col min="21" max="21" width="12.109375" bestFit="1" customWidth="1"/>
    <col min="22" max="23" width="10.44140625" bestFit="1" customWidth="1"/>
    <col min="24" max="24" width="18" bestFit="1" customWidth="1"/>
    <col min="25" max="25" width="19.6640625" bestFit="1" customWidth="1"/>
  </cols>
  <sheetData>
    <row r="1" spans="1:25" s="5" customFormat="1" x14ac:dyDescent="0.3">
      <c r="A1" s="5" t="s">
        <v>0</v>
      </c>
      <c r="B1" s="5" t="s">
        <v>1</v>
      </c>
      <c r="C1" s="5" t="s">
        <v>14</v>
      </c>
      <c r="D1" s="5" t="s">
        <v>15</v>
      </c>
      <c r="E1" s="5" t="s">
        <v>16</v>
      </c>
      <c r="F1" s="5" t="s">
        <v>17</v>
      </c>
      <c r="G1" s="5" t="s">
        <v>18</v>
      </c>
      <c r="H1" s="5" t="s">
        <v>19</v>
      </c>
      <c r="I1" s="5" t="s">
        <v>20</v>
      </c>
      <c r="J1" s="5" t="s">
        <v>21</v>
      </c>
      <c r="K1" s="5" t="s">
        <v>22</v>
      </c>
      <c r="L1" s="5" t="s">
        <v>23</v>
      </c>
      <c r="M1" s="5" t="s">
        <v>24</v>
      </c>
      <c r="N1" s="5" t="s">
        <v>25</v>
      </c>
      <c r="O1" s="5" t="s">
        <v>26</v>
      </c>
      <c r="P1" s="5" t="s">
        <v>27</v>
      </c>
      <c r="Q1" s="5" t="s">
        <v>28</v>
      </c>
      <c r="R1" s="5" t="s">
        <v>29</v>
      </c>
      <c r="S1" s="5" t="s">
        <v>30</v>
      </c>
      <c r="T1" s="5" t="s">
        <v>31</v>
      </c>
      <c r="U1" s="5" t="s">
        <v>32</v>
      </c>
      <c r="V1" s="5" t="s">
        <v>33</v>
      </c>
      <c r="W1" s="5" t="s">
        <v>34</v>
      </c>
      <c r="X1" s="5" t="s">
        <v>35</v>
      </c>
      <c r="Y1" s="5" t="s">
        <v>36</v>
      </c>
    </row>
    <row r="2" spans="1:25" x14ac:dyDescent="0.3">
      <c r="A2" s="3">
        <v>45658</v>
      </c>
      <c r="B2" t="s">
        <v>2</v>
      </c>
      <c r="C2" s="1">
        <v>189871</v>
      </c>
      <c r="D2" s="1">
        <v>91638.16</v>
      </c>
      <c r="E2" s="1">
        <v>98232.84</v>
      </c>
      <c r="F2" s="1">
        <v>72486.070000000007</v>
      </c>
      <c r="G2" s="1">
        <v>25746.76999999999</v>
      </c>
      <c r="H2" s="1">
        <v>2771.19</v>
      </c>
      <c r="I2" s="1">
        <v>22975.579999999991</v>
      </c>
      <c r="J2" s="8">
        <v>0.121</v>
      </c>
      <c r="K2" s="8">
        <v>0.95889999999999997</v>
      </c>
      <c r="L2" s="8">
        <v>0.98939999999999995</v>
      </c>
      <c r="M2" s="1">
        <v>34176.78</v>
      </c>
      <c r="N2" s="1">
        <v>36107.33</v>
      </c>
      <c r="O2" s="1">
        <v>115742.31</v>
      </c>
      <c r="P2" s="1">
        <v>3.86</v>
      </c>
      <c r="Q2" s="1">
        <v>4.09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8">
        <v>0</v>
      </c>
    </row>
    <row r="3" spans="1:25" x14ac:dyDescent="0.3">
      <c r="A3" s="3">
        <v>45689</v>
      </c>
      <c r="B3" t="s">
        <v>3</v>
      </c>
      <c r="C3" s="1">
        <v>194090</v>
      </c>
      <c r="D3" s="1">
        <v>98010.79</v>
      </c>
      <c r="E3" s="1">
        <v>96079.21</v>
      </c>
      <c r="F3" s="1">
        <v>53777.46</v>
      </c>
      <c r="G3" s="1">
        <v>42301.750000000007</v>
      </c>
      <c r="H3" s="1">
        <v>6241.15</v>
      </c>
      <c r="I3" s="1">
        <v>36060.600000000013</v>
      </c>
      <c r="J3" s="8">
        <v>0.18579999999999999</v>
      </c>
      <c r="K3" s="8">
        <v>0.996</v>
      </c>
      <c r="L3" s="8">
        <v>1.0202</v>
      </c>
      <c r="M3" s="1">
        <v>44050.01</v>
      </c>
      <c r="N3" s="1">
        <v>41599.629999999997</v>
      </c>
      <c r="O3" s="1">
        <v>146912.17000000001</v>
      </c>
      <c r="P3" s="1">
        <v>3.99</v>
      </c>
      <c r="Q3" s="1">
        <v>4.1900000000000004</v>
      </c>
      <c r="R3" s="8">
        <v>2.2200000000000001E-2</v>
      </c>
      <c r="S3" s="8">
        <v>-5.3099999999999994E-2</v>
      </c>
      <c r="T3" s="8">
        <v>0.56950000000000001</v>
      </c>
      <c r="U3" s="8">
        <v>0.26929999999999998</v>
      </c>
      <c r="V3" s="8">
        <v>0.28889999999999999</v>
      </c>
      <c r="W3" s="8">
        <v>0.15210000000000001</v>
      </c>
      <c r="X3" s="8">
        <v>3.3700000000000001E-2</v>
      </c>
      <c r="Y3" s="8">
        <v>2.4399999999999998E-2</v>
      </c>
    </row>
    <row r="4" spans="1:25" x14ac:dyDescent="0.3">
      <c r="A4" s="3">
        <v>45717</v>
      </c>
      <c r="B4" t="s">
        <v>4</v>
      </c>
      <c r="C4" s="1">
        <v>206748</v>
      </c>
      <c r="D4" s="1">
        <v>113651.68</v>
      </c>
      <c r="E4" s="1">
        <v>93096.320000000007</v>
      </c>
      <c r="F4" s="1">
        <v>59591.199999999997</v>
      </c>
      <c r="G4" s="1">
        <v>33505.12000000001</v>
      </c>
      <c r="H4" s="1">
        <v>4497.93</v>
      </c>
      <c r="I4" s="1">
        <v>29007.19000000001</v>
      </c>
      <c r="J4" s="8">
        <v>0.14029999999999998</v>
      </c>
      <c r="K4" s="8">
        <v>0.95250000000000001</v>
      </c>
      <c r="L4" s="8">
        <v>1.0116000000000001</v>
      </c>
      <c r="M4" s="1">
        <v>46530.96</v>
      </c>
      <c r="N4" s="1">
        <v>45702.85</v>
      </c>
      <c r="O4" s="1">
        <v>176352.15</v>
      </c>
      <c r="P4" s="1">
        <v>4.4400000000000004</v>
      </c>
      <c r="Q4" s="1">
        <v>4.66</v>
      </c>
      <c r="R4" s="8">
        <v>6.5199999999999994E-2</v>
      </c>
      <c r="S4" s="8">
        <v>0.12470000000000001</v>
      </c>
      <c r="T4" s="8">
        <v>-0.1956</v>
      </c>
      <c r="U4" s="8">
        <v>0.20039999999999999</v>
      </c>
      <c r="V4" s="8">
        <v>5.6299999999999996E-2</v>
      </c>
      <c r="W4" s="8">
        <v>9.8599999999999993E-2</v>
      </c>
      <c r="X4" s="8">
        <v>0.1128</v>
      </c>
      <c r="Y4" s="8">
        <v>0.11220000000000001</v>
      </c>
    </row>
    <row r="5" spans="1:25" x14ac:dyDescent="0.3">
      <c r="A5" s="3">
        <v>45748</v>
      </c>
      <c r="B5" t="s">
        <v>5</v>
      </c>
      <c r="C5" s="1">
        <v>210968</v>
      </c>
      <c r="D5" s="1">
        <v>111863.67</v>
      </c>
      <c r="E5" s="1">
        <v>99104.33</v>
      </c>
      <c r="F5" s="1">
        <v>58417.7</v>
      </c>
      <c r="G5" s="1">
        <v>40686.629999999997</v>
      </c>
      <c r="H5" s="1">
        <v>6493.91</v>
      </c>
      <c r="I5" s="1">
        <v>34192.720000000001</v>
      </c>
      <c r="J5" s="8">
        <v>0.16210000000000002</v>
      </c>
      <c r="K5" s="8">
        <v>0.96010000000000006</v>
      </c>
      <c r="L5" s="8">
        <v>1.0173999999999999</v>
      </c>
      <c r="M5" s="1">
        <v>47898.14</v>
      </c>
      <c r="N5" s="1">
        <v>46124.05</v>
      </c>
      <c r="O5" s="1">
        <v>209598.54</v>
      </c>
      <c r="P5" s="1">
        <v>4.8899999999999997</v>
      </c>
      <c r="Q5" s="1">
        <v>5.0999999999999996</v>
      </c>
      <c r="R5" s="8">
        <v>2.0400000000000001E-2</v>
      </c>
      <c r="S5" s="8">
        <v>-5.4000000000000003E-3</v>
      </c>
      <c r="T5" s="8">
        <v>0.17879999999999999</v>
      </c>
      <c r="U5" s="8">
        <v>0.1885</v>
      </c>
      <c r="V5" s="8">
        <v>2.9399999999999999E-2</v>
      </c>
      <c r="W5" s="8">
        <v>9.1999999999999998E-3</v>
      </c>
      <c r="X5" s="8">
        <v>0.1014</v>
      </c>
      <c r="Y5" s="8">
        <v>9.4399999999999998E-2</v>
      </c>
    </row>
    <row r="6" spans="1:25" x14ac:dyDescent="0.3">
      <c r="A6" s="3">
        <v>45778</v>
      </c>
      <c r="B6" t="s">
        <v>6</v>
      </c>
      <c r="C6" s="1">
        <v>217297</v>
      </c>
      <c r="D6" s="1">
        <v>123193.9</v>
      </c>
      <c r="E6" s="1">
        <v>94103.1</v>
      </c>
      <c r="F6" s="1">
        <v>69579.11</v>
      </c>
      <c r="G6" s="1">
        <v>24523.990000000009</v>
      </c>
      <c r="H6" s="1">
        <v>2458.0300000000002</v>
      </c>
      <c r="I6" s="1">
        <v>22065.96000000001</v>
      </c>
      <c r="J6" s="8">
        <v>0.10150000000000001</v>
      </c>
      <c r="K6" s="8">
        <v>0.99879999999999991</v>
      </c>
      <c r="L6" s="8">
        <v>1.0184</v>
      </c>
      <c r="M6" s="1">
        <v>49239.92</v>
      </c>
      <c r="N6" s="1">
        <v>50924.13</v>
      </c>
      <c r="O6" s="1">
        <v>234287.76</v>
      </c>
      <c r="P6" s="1">
        <v>5.31</v>
      </c>
      <c r="Q6" s="1">
        <v>5.53</v>
      </c>
      <c r="R6" s="8">
        <v>0.03</v>
      </c>
      <c r="S6" s="8">
        <v>0.10439999999999999</v>
      </c>
      <c r="T6" s="8">
        <v>-0.35470000000000002</v>
      </c>
      <c r="U6" s="8">
        <v>0.11779999999999999</v>
      </c>
      <c r="V6" s="8">
        <v>2.7999999999999997E-2</v>
      </c>
      <c r="W6" s="8">
        <v>0.1041</v>
      </c>
      <c r="X6" s="8">
        <v>8.5900000000000004E-2</v>
      </c>
      <c r="Y6" s="8">
        <v>8.43E-2</v>
      </c>
    </row>
    <row r="7" spans="1:25" x14ac:dyDescent="0.3">
      <c r="A7" s="3">
        <v>45809</v>
      </c>
      <c r="B7" t="s">
        <v>7</v>
      </c>
      <c r="C7" s="1">
        <v>221516</v>
      </c>
      <c r="D7" s="1">
        <v>107356.99</v>
      </c>
      <c r="E7" s="1">
        <v>114159.01</v>
      </c>
      <c r="F7" s="1">
        <v>76288.33</v>
      </c>
      <c r="G7" s="1">
        <v>37870.679999999993</v>
      </c>
      <c r="H7" s="1">
        <v>4700.41</v>
      </c>
      <c r="I7" s="1">
        <v>33170.26999999999</v>
      </c>
      <c r="J7" s="8">
        <v>0.1497</v>
      </c>
      <c r="K7" s="8">
        <v>0.98760000000000003</v>
      </c>
      <c r="L7" s="8">
        <v>1.0381</v>
      </c>
      <c r="M7" s="1">
        <v>50303.14</v>
      </c>
      <c r="N7" s="1">
        <v>50040.62</v>
      </c>
      <c r="O7" s="1">
        <v>266463.61</v>
      </c>
      <c r="P7" s="1">
        <v>5.79</v>
      </c>
      <c r="Q7" s="1">
        <v>5.98</v>
      </c>
      <c r="R7" s="8">
        <v>1.9400000000000001E-2</v>
      </c>
      <c r="S7" s="8">
        <v>-3.5299999999999998E-2</v>
      </c>
      <c r="T7" s="8">
        <v>0.50319999999999998</v>
      </c>
      <c r="U7" s="8">
        <v>0.13730000000000001</v>
      </c>
      <c r="V7" s="8">
        <v>2.1600000000000001E-2</v>
      </c>
      <c r="W7" s="8">
        <v>-1.7299999999999999E-2</v>
      </c>
      <c r="X7" s="8">
        <v>9.0399999999999994E-2</v>
      </c>
      <c r="Y7" s="8">
        <v>8.14E-2</v>
      </c>
    </row>
    <row r="8" spans="1:25" x14ac:dyDescent="0.3">
      <c r="A8" s="3">
        <v>45839</v>
      </c>
      <c r="B8" t="s">
        <v>8</v>
      </c>
      <c r="C8" s="1">
        <v>204639</v>
      </c>
      <c r="D8" s="1">
        <v>95599.93</v>
      </c>
      <c r="E8" s="1">
        <v>109039.07</v>
      </c>
      <c r="F8" s="1">
        <v>71590.33</v>
      </c>
      <c r="G8" s="1">
        <v>37448.740000000013</v>
      </c>
      <c r="H8" s="1">
        <v>5709.66</v>
      </c>
      <c r="I8" s="1">
        <v>31739.080000000009</v>
      </c>
      <c r="J8" s="8">
        <v>0.15509999999999999</v>
      </c>
      <c r="K8" s="8">
        <v>0.98939999999999995</v>
      </c>
      <c r="L8" s="8">
        <v>1.0258</v>
      </c>
      <c r="M8" s="1">
        <v>47467.79</v>
      </c>
      <c r="N8" s="1">
        <v>45964.12</v>
      </c>
      <c r="O8" s="1">
        <v>297735.65000000002</v>
      </c>
      <c r="P8" s="1">
        <v>6.68</v>
      </c>
      <c r="Q8" s="1">
        <v>6.87</v>
      </c>
      <c r="R8" s="8">
        <v>-7.6200000000000004E-2</v>
      </c>
      <c r="S8" s="8">
        <v>-8.199999999999999E-2</v>
      </c>
      <c r="T8" s="8">
        <v>-4.3099999999999999E-2</v>
      </c>
      <c r="U8" s="8">
        <v>0.1174</v>
      </c>
      <c r="V8" s="8">
        <v>-5.6399999999999999E-2</v>
      </c>
      <c r="W8" s="8">
        <v>-8.1500000000000003E-2</v>
      </c>
      <c r="X8" s="8">
        <v>0.1537</v>
      </c>
      <c r="Y8" s="8">
        <v>0.14880000000000002</v>
      </c>
    </row>
    <row r="9" spans="1:25" x14ac:dyDescent="0.3">
      <c r="A9" s="3">
        <v>45870</v>
      </c>
      <c r="B9" t="s">
        <v>9</v>
      </c>
      <c r="C9" s="1">
        <v>194090</v>
      </c>
      <c r="D9" s="1">
        <v>97373.22</v>
      </c>
      <c r="E9" s="1">
        <v>96716.78</v>
      </c>
      <c r="F9" s="1">
        <v>48522.5</v>
      </c>
      <c r="G9" s="1">
        <v>48194.28</v>
      </c>
      <c r="H9" s="1">
        <v>6261.17</v>
      </c>
      <c r="I9" s="1">
        <v>41933.11</v>
      </c>
      <c r="J9" s="8">
        <v>0.21600000000000003</v>
      </c>
      <c r="K9" s="8">
        <v>0.98930000000000007</v>
      </c>
      <c r="L9" s="8">
        <v>1.0263</v>
      </c>
      <c r="M9" s="1">
        <v>44758.87</v>
      </c>
      <c r="N9" s="1">
        <v>40456.57</v>
      </c>
      <c r="O9" s="1">
        <v>336806.38</v>
      </c>
      <c r="P9" s="1">
        <v>8.17</v>
      </c>
      <c r="Q9" s="1">
        <v>8.3800000000000008</v>
      </c>
      <c r="R9" s="8">
        <v>-5.1500000000000004E-2</v>
      </c>
      <c r="S9" s="8">
        <v>-0.12</v>
      </c>
      <c r="T9" s="8">
        <v>0.32119999999999999</v>
      </c>
      <c r="U9" s="8">
        <v>0.13119999999999998</v>
      </c>
      <c r="V9" s="8">
        <v>-5.7099999999999998E-2</v>
      </c>
      <c r="W9" s="8">
        <v>-0.1198</v>
      </c>
      <c r="X9" s="8">
        <v>0.22309999999999999</v>
      </c>
      <c r="Y9" s="8">
        <v>0.2198</v>
      </c>
    </row>
    <row r="10" spans="1:25" x14ac:dyDescent="0.3">
      <c r="A10" s="3">
        <v>45901</v>
      </c>
      <c r="B10" t="s">
        <v>10</v>
      </c>
      <c r="C10" s="1">
        <v>215187</v>
      </c>
      <c r="D10" s="1">
        <v>117680.54</v>
      </c>
      <c r="E10" s="1">
        <v>97506.46</v>
      </c>
      <c r="F10" s="1">
        <v>56442.28</v>
      </c>
      <c r="G10" s="1">
        <v>41064.180000000008</v>
      </c>
      <c r="H10" s="1">
        <v>5887.54</v>
      </c>
      <c r="I10" s="1">
        <v>35176.640000000007</v>
      </c>
      <c r="J10" s="8">
        <v>0.16350000000000001</v>
      </c>
      <c r="K10" s="8">
        <v>0.9597</v>
      </c>
      <c r="L10" s="8">
        <v>0.98239999999999994</v>
      </c>
      <c r="M10" s="1">
        <v>48049.98</v>
      </c>
      <c r="N10" s="1">
        <v>45601.81</v>
      </c>
      <c r="O10" s="1">
        <v>372561.62</v>
      </c>
      <c r="P10" s="1">
        <v>8.17</v>
      </c>
      <c r="Q10" s="1">
        <v>8.39</v>
      </c>
      <c r="R10" s="8">
        <v>0.10869999999999999</v>
      </c>
      <c r="S10" s="8">
        <v>0.18309999999999998</v>
      </c>
      <c r="T10" s="8">
        <v>-0.16109999999999999</v>
      </c>
      <c r="U10" s="8">
        <v>0.10619999999999999</v>
      </c>
      <c r="V10" s="8">
        <v>7.3499999999999996E-2</v>
      </c>
      <c r="W10" s="8">
        <v>0.12720000000000001</v>
      </c>
      <c r="X10" s="8">
        <v>0</v>
      </c>
      <c r="Y10" s="8">
        <v>1.1999999999999999E-3</v>
      </c>
    </row>
    <row r="11" spans="1:25" x14ac:dyDescent="0.3">
      <c r="A11" s="3">
        <v>45931</v>
      </c>
      <c r="B11" t="s">
        <v>11</v>
      </c>
      <c r="C11" s="1">
        <v>227845</v>
      </c>
      <c r="D11" s="1">
        <v>102530.25</v>
      </c>
      <c r="E11" s="1">
        <v>125314.75</v>
      </c>
      <c r="F11" s="1">
        <v>71118.89</v>
      </c>
      <c r="G11" s="1">
        <v>54195.86</v>
      </c>
      <c r="H11" s="1">
        <v>5892.15</v>
      </c>
      <c r="I11" s="1">
        <v>48303.71</v>
      </c>
      <c r="J11" s="8">
        <v>0.21199999999999999</v>
      </c>
      <c r="K11" s="8">
        <v>0.96340000000000003</v>
      </c>
      <c r="L11" s="8">
        <v>0.98540000000000005</v>
      </c>
      <c r="M11" s="1">
        <v>51341.08</v>
      </c>
      <c r="N11" s="1">
        <v>46908.95</v>
      </c>
      <c r="O11" s="1">
        <v>419805.32</v>
      </c>
      <c r="P11" s="1">
        <v>8.92</v>
      </c>
      <c r="Q11" s="1">
        <v>9.1199999999999992</v>
      </c>
      <c r="R11" s="8">
        <v>5.8799999999999998E-2</v>
      </c>
      <c r="S11" s="8">
        <v>-2.5999999999999999E-3</v>
      </c>
      <c r="T11" s="8">
        <v>0.37319999999999998</v>
      </c>
      <c r="U11" s="8">
        <v>0.1268</v>
      </c>
      <c r="V11" s="8">
        <v>6.8499999999999991E-2</v>
      </c>
      <c r="W11" s="8">
        <v>2.87E-2</v>
      </c>
      <c r="X11" s="8">
        <v>9.1799999999999993E-2</v>
      </c>
      <c r="Y11" s="8">
        <v>8.6999999999999994E-2</v>
      </c>
    </row>
    <row r="12" spans="1:25" x14ac:dyDescent="0.3">
      <c r="A12" s="3">
        <v>45962</v>
      </c>
      <c r="B12" t="s">
        <v>12</v>
      </c>
      <c r="C12" s="1">
        <v>236284</v>
      </c>
      <c r="D12" s="1">
        <v>114557.96</v>
      </c>
      <c r="E12" s="1">
        <v>121726.04</v>
      </c>
      <c r="F12" s="1">
        <v>75289.81</v>
      </c>
      <c r="G12" s="1">
        <v>46436.23</v>
      </c>
      <c r="H12" s="1">
        <v>7212.1</v>
      </c>
      <c r="I12" s="1">
        <v>39224.129999999997</v>
      </c>
      <c r="J12" s="8">
        <v>0.16600000000000001</v>
      </c>
      <c r="K12" s="8">
        <v>0.99360000000000004</v>
      </c>
      <c r="L12" s="8">
        <v>0.99360000000000004</v>
      </c>
      <c r="M12" s="1">
        <v>53467.68</v>
      </c>
      <c r="N12" s="1">
        <v>50448.97</v>
      </c>
      <c r="O12" s="1">
        <v>459689.69</v>
      </c>
      <c r="P12" s="1">
        <v>8.9</v>
      </c>
      <c r="Q12" s="1">
        <v>9.09</v>
      </c>
      <c r="R12" s="8">
        <v>3.7000000000000005E-2</v>
      </c>
      <c r="S12" s="8">
        <v>9.7599999999999992E-2</v>
      </c>
      <c r="T12" s="8">
        <v>-0.188</v>
      </c>
      <c r="U12" s="8">
        <v>9.5000000000000001E-2</v>
      </c>
      <c r="V12" s="8">
        <v>4.1399999999999999E-2</v>
      </c>
      <c r="W12" s="8">
        <v>7.5499999999999998E-2</v>
      </c>
      <c r="X12" s="8">
        <v>-2.2000000000000001E-3</v>
      </c>
      <c r="Y12" s="8">
        <v>-3.3E-3</v>
      </c>
    </row>
    <row r="13" spans="1:25" x14ac:dyDescent="0.3">
      <c r="A13" s="3">
        <v>45992</v>
      </c>
      <c r="B13" t="s">
        <v>13</v>
      </c>
      <c r="C13" s="1">
        <v>253161</v>
      </c>
      <c r="D13" s="1">
        <v>128701.11</v>
      </c>
      <c r="E13" s="1">
        <v>124459.89</v>
      </c>
      <c r="F13" s="1">
        <v>71773.41</v>
      </c>
      <c r="G13" s="1">
        <v>52686.48</v>
      </c>
      <c r="H13" s="1">
        <v>5823.08</v>
      </c>
      <c r="I13" s="1">
        <v>46863.399999999987</v>
      </c>
      <c r="J13" s="8">
        <v>0.18510000000000001</v>
      </c>
      <c r="K13" s="8">
        <v>0.99790000000000001</v>
      </c>
      <c r="L13" s="8">
        <v>0.99690000000000001</v>
      </c>
      <c r="M13" s="1">
        <v>56910.61</v>
      </c>
      <c r="N13" s="1">
        <v>53596.78</v>
      </c>
      <c r="O13" s="1">
        <v>505335.97</v>
      </c>
      <c r="P13" s="1">
        <v>9.4600000000000009</v>
      </c>
      <c r="Q13" s="1">
        <v>9.67</v>
      </c>
      <c r="R13" s="8">
        <v>7.1399999999999991E-2</v>
      </c>
      <c r="S13" s="8">
        <v>4.6900000000000004E-2</v>
      </c>
      <c r="T13" s="8">
        <v>0.1948</v>
      </c>
      <c r="U13" s="8">
        <v>9.9299999999999999E-2</v>
      </c>
      <c r="V13" s="8">
        <v>6.4399999999999999E-2</v>
      </c>
      <c r="W13" s="8">
        <v>6.2400000000000004E-2</v>
      </c>
      <c r="X13" s="8">
        <v>6.2899999999999998E-2</v>
      </c>
      <c r="Y13" s="8">
        <v>6.3799999999999996E-2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E686-A51B-4F20-82B8-F2515783FCE0}">
  <sheetPr codeName="Sheet4"/>
  <dimension ref="A1:AF44"/>
  <sheetViews>
    <sheetView workbookViewId="0">
      <selection activeCell="N11" sqref="N11"/>
    </sheetView>
  </sheetViews>
  <sheetFormatPr defaultRowHeight="14.4" x14ac:dyDescent="0.3"/>
  <cols>
    <col min="1" max="1" width="12.5546875" bestFit="1" customWidth="1"/>
    <col min="2" max="2" width="13.88671875" bestFit="1" customWidth="1"/>
    <col min="3" max="3" width="15.21875" bestFit="1" customWidth="1"/>
    <col min="4" max="4" width="10" bestFit="1" customWidth="1"/>
    <col min="5" max="5" width="12.44140625" bestFit="1" customWidth="1"/>
    <col min="7" max="7" width="12.109375" bestFit="1" customWidth="1"/>
    <col min="8" max="8" width="12.21875" bestFit="1" customWidth="1"/>
    <col min="10" max="10" width="17.33203125" bestFit="1" customWidth="1"/>
    <col min="11" max="11" width="17.77734375" bestFit="1" customWidth="1"/>
    <col min="13" max="13" width="27.44140625" bestFit="1" customWidth="1"/>
    <col min="14" max="14" width="8" bestFit="1" customWidth="1"/>
    <col min="16" max="16" width="29" bestFit="1" customWidth="1"/>
    <col min="17" max="17" width="29.88671875" bestFit="1" customWidth="1"/>
    <col min="19" max="19" width="26.77734375" bestFit="1" customWidth="1"/>
    <col min="20" max="20" width="27.21875" bestFit="1" customWidth="1"/>
    <col min="22" max="22" width="15.6640625" bestFit="1" customWidth="1"/>
    <col min="23" max="23" width="16" bestFit="1" customWidth="1"/>
    <col min="25" max="26" width="18.33203125" bestFit="1" customWidth="1"/>
    <col min="28" max="28" width="25" bestFit="1" customWidth="1"/>
    <col min="29" max="29" width="25.5546875" bestFit="1" customWidth="1"/>
    <col min="31" max="31" width="22.6640625" bestFit="1" customWidth="1"/>
    <col min="32" max="32" width="22.77734375" bestFit="1" customWidth="1"/>
  </cols>
  <sheetData>
    <row r="1" spans="1:32" x14ac:dyDescent="0.3">
      <c r="A1" s="2" t="s">
        <v>52</v>
      </c>
      <c r="D1" t="s">
        <v>50</v>
      </c>
      <c r="G1" t="s">
        <v>51</v>
      </c>
      <c r="J1" t="s">
        <v>54</v>
      </c>
      <c r="M1" t="s">
        <v>55</v>
      </c>
      <c r="P1" t="s">
        <v>56</v>
      </c>
      <c r="S1" t="s">
        <v>57</v>
      </c>
      <c r="V1" t="s">
        <v>58</v>
      </c>
      <c r="Y1" t="s">
        <v>59</v>
      </c>
      <c r="AB1" t="s">
        <v>60</v>
      </c>
      <c r="AE1" t="s">
        <v>61</v>
      </c>
    </row>
    <row r="2" spans="1:32" x14ac:dyDescent="0.3">
      <c r="A2" s="7" t="s">
        <v>53</v>
      </c>
      <c r="D2" s="10">
        <v>2571696</v>
      </c>
      <c r="E2" s="4">
        <f>GETPIVOTDATA("Income",$D$1)</f>
        <v>2571696</v>
      </c>
      <c r="G2" s="10">
        <v>1302158.2</v>
      </c>
      <c r="H2" s="4">
        <f>GETPIVOTDATA("COGS",$G$1)</f>
        <v>1302158.2</v>
      </c>
      <c r="J2" s="10">
        <v>1269537.8</v>
      </c>
      <c r="K2" s="4">
        <f>GETPIVOTDATA("Gross Profit",$J$1)</f>
        <v>1269537.8</v>
      </c>
      <c r="M2" s="10">
        <v>63948.32</v>
      </c>
      <c r="N2" s="4">
        <f>GETPIVOTDATA("Taxes",$M$1)</f>
        <v>63948.32</v>
      </c>
      <c r="P2" s="10">
        <v>784877.09</v>
      </c>
      <c r="Q2" s="4">
        <f>GETPIVOTDATA("Total Operating Expenses",$P$1)</f>
        <v>784877.09</v>
      </c>
      <c r="S2" s="10">
        <v>484660.70999999996</v>
      </c>
      <c r="T2" s="4">
        <f>GETPIVOTDATA("Operating Profit (EBIT)",$S$1)</f>
        <v>484660.70999999996</v>
      </c>
      <c r="V2" s="10">
        <v>420712.39000000007</v>
      </c>
      <c r="W2" s="4">
        <f>GETPIVOTDATA("Net Profit",$V$1)</f>
        <v>420712.39000000007</v>
      </c>
      <c r="Y2" s="10">
        <v>3541291.17</v>
      </c>
      <c r="Z2" s="4">
        <f>GETPIVOTDATA("Cash at EOM",$Y$1)</f>
        <v>3541291.17</v>
      </c>
      <c r="AB2" s="10">
        <v>574194.96</v>
      </c>
      <c r="AC2" s="4">
        <f>GETPIVOTDATA("Accounts Receivable",$AB$1)</f>
        <v>574194.96</v>
      </c>
      <c r="AE2" s="10">
        <v>553475.81000000006</v>
      </c>
      <c r="AF2" s="4">
        <f>GETPIVOTDATA("Accounts Payable",$AE$1)</f>
        <v>553475.81000000006</v>
      </c>
    </row>
    <row r="3" spans="1:32" x14ac:dyDescent="0.3">
      <c r="A3" s="7" t="s">
        <v>38</v>
      </c>
    </row>
    <row r="4" spans="1:32" x14ac:dyDescent="0.3">
      <c r="A4" s="7" t="s">
        <v>39</v>
      </c>
    </row>
    <row r="5" spans="1:32" x14ac:dyDescent="0.3">
      <c r="A5" s="7" t="s">
        <v>40</v>
      </c>
    </row>
    <row r="6" spans="1:32" x14ac:dyDescent="0.3">
      <c r="A6" s="7" t="s">
        <v>41</v>
      </c>
    </row>
    <row r="7" spans="1:32" x14ac:dyDescent="0.3">
      <c r="A7" s="7" t="s">
        <v>42</v>
      </c>
    </row>
    <row r="8" spans="1:32" x14ac:dyDescent="0.3">
      <c r="A8" s="7" t="s">
        <v>43</v>
      </c>
    </row>
    <row r="9" spans="1:32" x14ac:dyDescent="0.3">
      <c r="A9" s="7" t="s">
        <v>44</v>
      </c>
      <c r="C9" s="2" t="s">
        <v>63</v>
      </c>
      <c r="M9" t="s">
        <v>62</v>
      </c>
    </row>
    <row r="10" spans="1:32" x14ac:dyDescent="0.3">
      <c r="A10" s="7" t="s">
        <v>45</v>
      </c>
      <c r="C10" s="7" t="s">
        <v>58</v>
      </c>
      <c r="D10" s="10">
        <v>420712.39000000007</v>
      </c>
      <c r="M10" s="10">
        <v>16.317499999999999</v>
      </c>
      <c r="N10" s="9">
        <f>GETPIVOTDATA("Net Profit Margin %",$M$9)/100</f>
        <v>0.16317499999999999</v>
      </c>
    </row>
    <row r="11" spans="1:32" x14ac:dyDescent="0.3">
      <c r="A11" s="7" t="s">
        <v>46</v>
      </c>
      <c r="C11" s="7" t="s">
        <v>50</v>
      </c>
      <c r="D11" s="10">
        <v>2571696</v>
      </c>
    </row>
    <row r="12" spans="1:32" x14ac:dyDescent="0.3">
      <c r="A12" s="7" t="s">
        <v>47</v>
      </c>
    </row>
    <row r="13" spans="1:32" x14ac:dyDescent="0.3">
      <c r="A13" s="7" t="s">
        <v>48</v>
      </c>
    </row>
    <row r="14" spans="1:32" x14ac:dyDescent="0.3">
      <c r="A14" s="7" t="s">
        <v>49</v>
      </c>
    </row>
    <row r="15" spans="1:32" x14ac:dyDescent="0.3">
      <c r="A15" s="7" t="s">
        <v>37</v>
      </c>
    </row>
    <row r="31" spans="1:3" x14ac:dyDescent="0.3">
      <c r="A31" s="2" t="s">
        <v>52</v>
      </c>
      <c r="B31" t="s">
        <v>50</v>
      </c>
      <c r="C31" t="s">
        <v>54</v>
      </c>
    </row>
    <row r="32" spans="1:3" x14ac:dyDescent="0.3">
      <c r="A32" s="7" t="s">
        <v>38</v>
      </c>
      <c r="B32" s="10">
        <v>189871</v>
      </c>
      <c r="C32" s="10">
        <v>98232.84</v>
      </c>
    </row>
    <row r="33" spans="1:3" x14ac:dyDescent="0.3">
      <c r="A33" s="7" t="s">
        <v>39</v>
      </c>
      <c r="B33" s="10">
        <v>194090</v>
      </c>
      <c r="C33" s="10">
        <v>96079.21</v>
      </c>
    </row>
    <row r="34" spans="1:3" x14ac:dyDescent="0.3">
      <c r="A34" s="7" t="s">
        <v>40</v>
      </c>
      <c r="B34" s="10">
        <v>206748</v>
      </c>
      <c r="C34" s="10">
        <v>93096.320000000007</v>
      </c>
    </row>
    <row r="35" spans="1:3" x14ac:dyDescent="0.3">
      <c r="A35" s="7" t="s">
        <v>41</v>
      </c>
      <c r="B35" s="10">
        <v>210968</v>
      </c>
      <c r="C35" s="10">
        <v>99104.33</v>
      </c>
    </row>
    <row r="36" spans="1:3" x14ac:dyDescent="0.3">
      <c r="A36" s="7" t="s">
        <v>42</v>
      </c>
      <c r="B36" s="10">
        <v>217297</v>
      </c>
      <c r="C36" s="10">
        <v>94103.1</v>
      </c>
    </row>
    <row r="37" spans="1:3" x14ac:dyDescent="0.3">
      <c r="A37" s="7" t="s">
        <v>43</v>
      </c>
      <c r="B37" s="10">
        <v>221516</v>
      </c>
      <c r="C37" s="10">
        <v>114159.01</v>
      </c>
    </row>
    <row r="38" spans="1:3" x14ac:dyDescent="0.3">
      <c r="A38" s="7" t="s">
        <v>44</v>
      </c>
      <c r="B38" s="10">
        <v>204639</v>
      </c>
      <c r="C38" s="10">
        <v>109039.07</v>
      </c>
    </row>
    <row r="39" spans="1:3" x14ac:dyDescent="0.3">
      <c r="A39" s="7" t="s">
        <v>45</v>
      </c>
      <c r="B39" s="10">
        <v>194090</v>
      </c>
      <c r="C39" s="10">
        <v>96716.78</v>
      </c>
    </row>
    <row r="40" spans="1:3" x14ac:dyDescent="0.3">
      <c r="A40" s="7" t="s">
        <v>46</v>
      </c>
      <c r="B40" s="10">
        <v>215187</v>
      </c>
      <c r="C40" s="10">
        <v>97506.46</v>
      </c>
    </row>
    <row r="41" spans="1:3" x14ac:dyDescent="0.3">
      <c r="A41" s="7" t="s">
        <v>47</v>
      </c>
      <c r="B41" s="10">
        <v>227845</v>
      </c>
      <c r="C41" s="10">
        <v>125314.75</v>
      </c>
    </row>
    <row r="42" spans="1:3" x14ac:dyDescent="0.3">
      <c r="A42" s="7" t="s">
        <v>48</v>
      </c>
      <c r="B42" s="10">
        <v>236284</v>
      </c>
      <c r="C42" s="10">
        <v>121726.04</v>
      </c>
    </row>
    <row r="43" spans="1:3" x14ac:dyDescent="0.3">
      <c r="A43" s="7" t="s">
        <v>49</v>
      </c>
      <c r="B43" s="10">
        <v>253161</v>
      </c>
      <c r="C43" s="10">
        <v>124459.89</v>
      </c>
    </row>
    <row r="44" spans="1:3" x14ac:dyDescent="0.3">
      <c r="A44" s="7" t="s">
        <v>37</v>
      </c>
      <c r="B44" s="10">
        <v>2571696</v>
      </c>
      <c r="C44" s="10">
        <v>1269537.8</v>
      </c>
    </row>
  </sheetData>
  <pageMargins left="0.7" right="0.7" top="0.75" bottom="0.75" header="0.3" footer="0.3"/>
  <drawing r:id="rId15"/>
  <extLst>
    <ext xmlns:x15="http://schemas.microsoft.com/office/spreadsheetml/2010/11/main" uri="{7E03D99C-DC04-49d9-9315-930204A7B6E9}">
      <x15:timelineRefs>
        <x15:timelineRef r:id="rId16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3218-7CBC-4FCD-93E4-1442F449AAF9}">
  <sheetPr codeName="Sheet5"/>
  <dimension ref="A1"/>
  <sheetViews>
    <sheetView tabSelected="1" zoomScale="70" zoomScaleNormal="70" workbookViewId="0"/>
  </sheetViews>
  <sheetFormatPr defaultRowHeight="14.4" x14ac:dyDescent="0.3"/>
  <cols>
    <col min="1" max="16384" width="8.88671875" style="6"/>
  </cols>
  <sheetData/>
  <pageMargins left="0.7" right="0.7" top="0.75" bottom="0.75" header="0.3" footer="0.3"/>
  <drawing r:id="rId1"/>
  <extLst>
    <ext xmlns:x15="http://schemas.microsoft.com/office/spreadsheetml/2010/11/main" uri="{7E03D99C-DC04-49d9-9315-930204A7B6E9}">
      <x15:timelineRefs>
        <x15:timelineRef r:id="rId2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KPI_Monthly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Tesic</dc:creator>
  <cp:lastModifiedBy>HCE 1</cp:lastModifiedBy>
  <dcterms:created xsi:type="dcterms:W3CDTF">2025-10-03T06:00:50Z</dcterms:created>
  <dcterms:modified xsi:type="dcterms:W3CDTF">2025-10-05T13:59:11Z</dcterms:modified>
</cp:coreProperties>
</file>